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tt\Dropbox\ORRez\Measurement\"/>
    </mc:Choice>
  </mc:AlternateContent>
  <bookViews>
    <workbookView showSheetTabs="0" xWindow="32760" yWindow="32760" windowWidth="12600" windowHeight="10275"/>
  </bookViews>
  <sheets>
    <sheet name="Sail Data" sheetId="4" r:id="rId1"/>
    <sheet name="Calcs-1" sheetId="9" state="hidden" r:id="rId2"/>
  </sheets>
  <definedNames>
    <definedName name="Clew_Angle">'Calcs-1'!$N$22</definedName>
    <definedName name="Clew_Angle_Neg">'Calcs-1'!$N$24</definedName>
    <definedName name="Clew_Angle_s_d">'Calcs-1'!$N$23</definedName>
    <definedName name="Clew_Left_x">'Calcs-1'!$J$4</definedName>
    <definedName name="Clew_Left_y">'Calcs-1'!$K$4</definedName>
    <definedName name="Clew_Right_x">'Calcs-1'!$J$11</definedName>
    <definedName name="Clew_Right_y">'Calcs-1'!$K$11</definedName>
    <definedName name="FootOff_x">'Calcs-1'!$J$13</definedName>
    <definedName name="FootOff_y">'Calcs-1'!$K$13</definedName>
    <definedName name="Head_x">'Calcs-1'!$J$7</definedName>
    <definedName name="Head_y">'Calcs-1'!$K$7</definedName>
    <definedName name="LeftPer">'Calcs-1'!$J$41</definedName>
    <definedName name="Neg_Clew_Angle_s_d">'Calcs-1'!$N$25</definedName>
    <definedName name="_xlnm.Print_Area" localSheetId="1">'Calcs-1'!$C$1:$O$42</definedName>
    <definedName name="_xlnm.Print_Area" localSheetId="0">'Sail Data'!$B$1:$N$61</definedName>
    <definedName name="RightPer">'Calcs-1'!$J$42</definedName>
    <definedName name="SCL_s">'Calcs-1'!$N$27</definedName>
    <definedName name="SF_1">'Sail Data'!$R$8</definedName>
    <definedName name="SF_1a">'Sail Data'!$S$8</definedName>
    <definedName name="SF_a">'Calcs-1'!$D$18</definedName>
    <definedName name="SF_s">'Calcs-1'!$D$9</definedName>
    <definedName name="SHW_a">'Calcs-1'!$D$17</definedName>
    <definedName name="SHW_s">'Calcs-1'!$N$29</definedName>
    <definedName name="SHW_s_Input">'Calcs-1'!$D$8</definedName>
    <definedName name="SHW_s_x">'Calcs-1'!$N$33</definedName>
    <definedName name="SHW_s_y">'Calcs-1'!$O$33</definedName>
    <definedName name="SL_Mid_s_x">'Calcs-1'!$N$32</definedName>
    <definedName name="SL_Mid_s_y">'Calcs-1'!$O$32</definedName>
    <definedName name="SLE_1">'Sail Data'!$R$6</definedName>
    <definedName name="SLE_1a">'Sail Data'!$S$6</definedName>
    <definedName name="SLE_a">'Calcs-1'!$D$16</definedName>
    <definedName name="SLE_Half_Luff_x">'Calcs-1'!$J$10</definedName>
    <definedName name="SLE_Half_Luff_y">'Calcs-1'!$K$10</definedName>
    <definedName name="SLE_s">'Calcs-1'!$D$6</definedName>
    <definedName name="SLU_1">'Sail Data'!$R$5</definedName>
    <definedName name="SLU_1a">'Sail Data'!$S$5</definedName>
    <definedName name="SLU_a">'Calcs-1'!$D$15</definedName>
    <definedName name="SLU_Half_Luff_x">'Calcs-1'!$J$5</definedName>
    <definedName name="SLU_Half_Luff_y">'Calcs-1'!$K$5</definedName>
    <definedName name="SLU_s">'Calcs-1'!$D$5</definedName>
    <definedName name="SMG_1">'Sail Data'!$R$7</definedName>
    <definedName name="SMG_1a">'Sail Data'!$S$7</definedName>
    <definedName name="SMW_1">'Sail Data'!$R$9</definedName>
    <definedName name="SMW_1a">'Sail Data'!$S$9</definedName>
    <definedName name="SMW_s">'Calcs-1'!$D$7</definedName>
    <definedName name="Spin_s_scale">'Calcs-1'!$N$28</definedName>
    <definedName name="SS_axes_maxx">'Calcs-1'!$N$11</definedName>
    <definedName name="SS_axes_maxy">'Calcs-1'!$O$11</definedName>
    <definedName name="SS_axes_minx">'Calcs-1'!$N$12</definedName>
    <definedName name="SS_axes_miny">'Calcs-1'!$O$12</definedName>
    <definedName name="SS_data_maxx">'Calcs-1'!$N$5</definedName>
    <definedName name="SS_data_maxy">'Calcs-1'!$O$5</definedName>
    <definedName name="SS_data_minx">'Calcs-1'!$N$6</definedName>
    <definedName name="SS_data_miny">'Calcs-1'!$O$6</definedName>
    <definedName name="SS_dummy_hor_maxx">'Calcs-1'!$N$17</definedName>
    <definedName name="SS_dummy_hor_maxy">'Calcs-1'!$O$17</definedName>
    <definedName name="SS_dummy_hor_minx">'Calcs-1'!$N$18</definedName>
    <definedName name="SS_dummy_hor_miny">'Calcs-1'!$O$18</definedName>
    <definedName name="SS_dummy_vert_maxx">'Calcs-1'!$N$19</definedName>
    <definedName name="SS_dummy_vert_maxy">'Calcs-1'!$O$19</definedName>
    <definedName name="SS_dummy_vert_minx">'Calcs-1'!$N$20</definedName>
    <definedName name="SS_dummy_vert_miny">'Calcs-1'!$O$20</definedName>
    <definedName name="SS_xdata_range">'Calcs-1'!$N$7</definedName>
    <definedName name="SS_ydata_range">'Calcs-1'!$O$7</definedName>
    <definedName name="Sym_Plot_Max_Height">'Calcs-1'!$O$29</definedName>
    <definedName name="Tick_length">'Calcs-1'!$I$57</definedName>
    <definedName name="Tick_Offset">'Calcs-1'!$I$56</definedName>
  </definedNames>
  <calcPr calcId="152511"/>
</workbook>
</file>

<file path=xl/calcChain.xml><?xml version="1.0" encoding="utf-8"?>
<calcChain xmlns="http://schemas.openxmlformats.org/spreadsheetml/2006/main">
  <c r="K4" i="4" l="1"/>
  <c r="R5" i="4" l="1"/>
  <c r="R6" i="4" s="1"/>
  <c r="L5" i="4"/>
  <c r="S5" i="4" s="1"/>
  <c r="S6" i="4" s="1"/>
  <c r="L6" i="4"/>
  <c r="R8" i="4"/>
  <c r="R7" i="4"/>
  <c r="R9" i="4"/>
  <c r="L4" i="4"/>
  <c r="AK7" i="4"/>
  <c r="AK8" i="4"/>
  <c r="AK9" i="4"/>
  <c r="AK10" i="4"/>
  <c r="AK11" i="4"/>
  <c r="L8" i="4"/>
  <c r="S8" i="4" s="1"/>
  <c r="L9" i="4"/>
  <c r="S9" i="4" s="1"/>
  <c r="L7" i="4"/>
  <c r="S7" i="4" s="1"/>
  <c r="K10" i="4" l="1"/>
  <c r="L10" i="4"/>
  <c r="L11" i="4"/>
  <c r="K11" i="4"/>
  <c r="J11" i="9"/>
  <c r="J75" i="9" s="1"/>
  <c r="K14" i="9"/>
  <c r="O45" i="9" s="1"/>
  <c r="D7" i="9"/>
  <c r="D9" i="9"/>
  <c r="J13" i="9" s="1"/>
  <c r="K4" i="9"/>
  <c r="K11" i="9"/>
  <c r="D8" i="9"/>
  <c r="D6" i="9"/>
  <c r="J12" i="9"/>
  <c r="K12" i="9"/>
  <c r="D5" i="9"/>
  <c r="K12" i="4"/>
  <c r="L12" i="4"/>
  <c r="J74" i="9" l="1"/>
  <c r="J77" i="9"/>
  <c r="J8" i="9"/>
  <c r="N29" i="9"/>
  <c r="N33" i="9" s="1"/>
  <c r="Q29" i="9"/>
  <c r="J21" i="9"/>
  <c r="H49" i="9"/>
  <c r="K53" i="9"/>
  <c r="J14" i="9"/>
  <c r="N45" i="9" s="1"/>
  <c r="J4" i="9"/>
  <c r="J76" i="9" s="1"/>
  <c r="N22" i="9"/>
  <c r="O36" i="9" s="1"/>
  <c r="J7" i="9"/>
  <c r="H53" i="9"/>
  <c r="N27" i="9"/>
  <c r="H46" i="9"/>
  <c r="H45" i="9"/>
  <c r="I56" i="9"/>
  <c r="J20" i="9" l="1"/>
  <c r="J5" i="9"/>
  <c r="N35" i="9" s="1"/>
  <c r="J10" i="9"/>
  <c r="N37" i="9" s="1"/>
  <c r="O32" i="9"/>
  <c r="N23" i="9"/>
  <c r="J40" i="9" s="1"/>
  <c r="N34" i="9"/>
  <c r="O33" i="9"/>
  <c r="O35" i="9" s="1"/>
  <c r="N32" i="9"/>
  <c r="J72" i="9"/>
  <c r="J73" i="9"/>
  <c r="N24" i="9"/>
  <c r="J42" i="9"/>
  <c r="J65" i="9" s="1"/>
  <c r="N36" i="9"/>
  <c r="O34" i="9"/>
  <c r="J53" i="9"/>
  <c r="J51" i="9"/>
  <c r="J49" i="9"/>
  <c r="I57" i="9"/>
  <c r="K8" i="9"/>
  <c r="K13" i="9"/>
  <c r="K7" i="9"/>
  <c r="N28" i="9"/>
  <c r="J9" i="9" l="1"/>
  <c r="J23" i="9"/>
  <c r="N25" i="9"/>
  <c r="J6" i="9"/>
  <c r="J22" i="9"/>
  <c r="K67" i="9"/>
  <c r="K70" i="9" s="1"/>
  <c r="J41" i="9"/>
  <c r="O46" i="9" s="1"/>
  <c r="K10" i="9"/>
  <c r="K23" i="9" s="1"/>
  <c r="K5" i="9"/>
  <c r="K22" i="9" s="1"/>
  <c r="K49" i="9" s="1"/>
  <c r="O37" i="9"/>
  <c r="J67" i="9"/>
  <c r="J70" i="9" s="1"/>
  <c r="J46" i="9" s="1"/>
  <c r="K65" i="9"/>
  <c r="K72" i="9"/>
  <c r="K75" i="9"/>
  <c r="K73" i="9"/>
  <c r="K74" i="9"/>
  <c r="J66" i="9"/>
  <c r="J69" i="9"/>
  <c r="J16" i="9" s="1"/>
  <c r="K9" i="9" l="1"/>
  <c r="K58" i="9"/>
  <c r="J60" i="9"/>
  <c r="J61" i="9" s="1"/>
  <c r="N46" i="9"/>
  <c r="K68" i="9"/>
  <c r="J58" i="9"/>
  <c r="J59" i="9" s="1"/>
  <c r="K60" i="9"/>
  <c r="K63" i="9" s="1"/>
  <c r="K19" i="9" s="1"/>
  <c r="K51" i="9"/>
  <c r="K6" i="9"/>
  <c r="J68" i="9"/>
  <c r="K77" i="9"/>
  <c r="K21" i="9" s="1"/>
  <c r="J17" i="9"/>
  <c r="K76" i="9"/>
  <c r="K20" i="9" s="1"/>
  <c r="K17" i="9"/>
  <c r="K46" i="9"/>
  <c r="K69" i="9"/>
  <c r="K16" i="9" s="1"/>
  <c r="K66" i="9"/>
  <c r="K62" i="9"/>
  <c r="K18" i="9" s="1"/>
  <c r="K59" i="9"/>
  <c r="J63" i="9" l="1"/>
  <c r="J19" i="9" s="1"/>
  <c r="K61" i="9"/>
  <c r="J62" i="9"/>
  <c r="J18" i="9" s="1"/>
  <c r="K45" i="9"/>
  <c r="O5" i="9"/>
  <c r="O6" i="9"/>
  <c r="O12" i="9"/>
  <c r="O11" i="9"/>
  <c r="J45" i="9" l="1"/>
  <c r="N5" i="9"/>
  <c r="N6" i="9"/>
  <c r="N7" i="9" s="1"/>
  <c r="O7" i="9"/>
  <c r="O20" i="9"/>
  <c r="O13" i="9"/>
  <c r="O17" i="9"/>
  <c r="O19" i="9"/>
  <c r="O18" i="9"/>
  <c r="N12" i="9" l="1"/>
  <c r="N18" i="9" s="1"/>
  <c r="N19" i="9" l="1"/>
  <c r="N11" i="9"/>
  <c r="N17" i="9" s="1"/>
  <c r="N20" i="9"/>
  <c r="N13" i="9" l="1"/>
</calcChain>
</file>

<file path=xl/sharedStrings.xml><?xml version="1.0" encoding="utf-8"?>
<sst xmlns="http://schemas.openxmlformats.org/spreadsheetml/2006/main" count="141" uniqueCount="94">
  <si>
    <t>SLE</t>
  </si>
  <si>
    <t>SMW</t>
  </si>
  <si>
    <t>Half Width</t>
  </si>
  <si>
    <t>SHW</t>
  </si>
  <si>
    <t>Foot</t>
  </si>
  <si>
    <t>SF</t>
  </si>
  <si>
    <t>Rad</t>
  </si>
  <si>
    <t>Deg</t>
  </si>
  <si>
    <t>x</t>
  </si>
  <si>
    <t>y</t>
  </si>
  <si>
    <t>Clew</t>
  </si>
  <si>
    <t>Head</t>
  </si>
  <si>
    <t>Hgt</t>
  </si>
  <si>
    <t>Axes</t>
  </si>
  <si>
    <t>Max</t>
  </si>
  <si>
    <t>Min</t>
  </si>
  <si>
    <t>SCL</t>
  </si>
  <si>
    <t>SL Mid</t>
  </si>
  <si>
    <t>Left</t>
  </si>
  <si>
    <t>Right</t>
  </si>
  <si>
    <t>Left SL Mid</t>
  </si>
  <si>
    <t>to Half Leech</t>
  </si>
  <si>
    <t>Top</t>
  </si>
  <si>
    <t>SL / SLU</t>
  </si>
  <si>
    <t>SMG / SHW</t>
  </si>
  <si>
    <t>Mid</t>
  </si>
  <si>
    <t>Feet</t>
  </si>
  <si>
    <t>Right SL Mid</t>
  </si>
  <si>
    <t>Data</t>
  </si>
  <si>
    <t>Range</t>
  </si>
  <si>
    <t>Dummy Series</t>
  </si>
  <si>
    <t>Hor</t>
  </si>
  <si>
    <t>Vert</t>
  </si>
  <si>
    <t>CA Neg</t>
  </si>
  <si>
    <t>Half</t>
  </si>
  <si>
    <t>Luff /</t>
  </si>
  <si>
    <t xml:space="preserve"> Leech</t>
  </si>
  <si>
    <t>Clew Ang</t>
  </si>
  <si>
    <t>INPUTS</t>
  </si>
  <si>
    <t>SYM SPINNAKER</t>
  </si>
  <si>
    <t>Half Lch</t>
  </si>
  <si>
    <t>SYM SPINNAKER - 1</t>
  </si>
  <si>
    <t>Boat Name:</t>
  </si>
  <si>
    <t>Sail No.:</t>
  </si>
  <si>
    <t>Class/Model:</t>
  </si>
  <si>
    <t>Owner:</t>
  </si>
  <si>
    <t>Sail Desc.:</t>
  </si>
  <si>
    <t>Sail ID No.:</t>
  </si>
  <si>
    <t>Sail plotted below from input data.</t>
  </si>
  <si>
    <t>Sail shape is approximate.</t>
  </si>
  <si>
    <t>Labels</t>
  </si>
  <si>
    <t>Luff Tick</t>
  </si>
  <si>
    <t>Top Tick Left</t>
  </si>
  <si>
    <t>Top Tick Right</t>
  </si>
  <si>
    <t>Bot Tick Left</t>
  </si>
  <si>
    <t>Bot Tick Right</t>
  </si>
  <si>
    <t>Luff Dim Top</t>
  </si>
  <si>
    <t>Luff Dim Bot</t>
  </si>
  <si>
    <t>Leech Tick</t>
  </si>
  <si>
    <t>Leech Dim Top</t>
  </si>
  <si>
    <t>Leech Dim Bot</t>
  </si>
  <si>
    <t>Foot Tick</t>
  </si>
  <si>
    <t>Left Tick Top</t>
  </si>
  <si>
    <t>Left Tick Bot</t>
  </si>
  <si>
    <t>Right Tick Top</t>
  </si>
  <si>
    <t>Right Tick Bot</t>
  </si>
  <si>
    <t>Foot Dim Left</t>
  </si>
  <si>
    <t>Foot Dim Right</t>
  </si>
  <si>
    <t>Tick Offset</t>
  </si>
  <si>
    <t>Tick Length</t>
  </si>
  <si>
    <t>Left Luff/Leech Per</t>
  </si>
  <si>
    <t>Right Luff/Leech Per</t>
  </si>
  <si>
    <t>Leech Length</t>
  </si>
  <si>
    <t>Luff Length</t>
  </si>
  <si>
    <t>Bottom</t>
  </si>
  <si>
    <t>Left Luff/Leech Angle</t>
  </si>
  <si>
    <t>Percent</t>
  </si>
  <si>
    <t>Foot Length</t>
  </si>
  <si>
    <t>'=IF(AND(SLU_s&gt;0,SF_s&gt;0),IF(SMW_s&gt;0,IF(SHW_s_Input&gt;0,"","Max Width"),""),"")</t>
  </si>
  <si>
    <t>Loft:</t>
  </si>
  <si>
    <t>Measurer Name:</t>
  </si>
  <si>
    <t>Date:</t>
  </si>
  <si>
    <t>Signature:</t>
  </si>
  <si>
    <t>SLU</t>
  </si>
  <si>
    <t>SFL</t>
  </si>
  <si>
    <t>Area - IRC</t>
  </si>
  <si>
    <t>Area - ORC</t>
  </si>
  <si>
    <t>Area - ORR &amp; EZ</t>
  </si>
  <si>
    <r>
      <t>Maximum Width</t>
    </r>
    <r>
      <rPr>
        <sz val="9"/>
        <color rgb="FFC00000"/>
        <rFont val="Arial"/>
        <family val="2"/>
      </rPr>
      <t xml:space="preserve"> (alt to SHW)</t>
    </r>
  </si>
  <si>
    <t>Meters</t>
  </si>
  <si>
    <t>Data Entry Units:</t>
  </si>
  <si>
    <t>Symm Spinnaker Measurement Form</t>
  </si>
  <si>
    <t>Ver: 2025.01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</si>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</sst>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"/>
  </numFmts>
  <fonts count="55">
    <font>
      <sz val="9"/>
      <color theme="1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1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22"/>
      <name val="Arial"/>
      <family val="2"/>
    </font>
    <font>
      <b/>
      <sz val="10"/>
      <color indexed="8"/>
      <name val="Tahoma"/>
      <family val="2"/>
    </font>
    <font>
      <b/>
      <sz val="9"/>
      <color indexed="8"/>
      <name val="Arial"/>
      <family val="2"/>
    </font>
    <font>
      <b/>
      <u/>
      <sz val="9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sz val="9"/>
      <color rgb="FFC00000"/>
      <name val="Arial"/>
      <family val="2"/>
    </font>
    <font>
      <i/>
      <sz val="9"/>
      <color indexed="8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/>
    <xf numFmtId="0" fontId="12" fillId="14" borderId="1" applyNumberFormat="0" applyAlignment="0" applyProtection="0"/>
    <xf numFmtId="0" fontId="13" fillId="15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7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16" fillId="10" borderId="1" applyNumberFormat="0" applyAlignment="0" applyProtection="0"/>
    <xf numFmtId="0" fontId="45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" fillId="0" borderId="0"/>
    <xf numFmtId="0" fontId="44" fillId="0" borderId="0"/>
    <xf numFmtId="0" fontId="1" fillId="0" borderId="0"/>
    <xf numFmtId="0" fontId="1" fillId="8" borderId="4" applyNumberFormat="0" applyFont="0" applyAlignment="0" applyProtection="0"/>
    <xf numFmtId="0" fontId="18" fillId="14" borderId="5" applyNumberFormat="0" applyAlignment="0" applyProtection="0"/>
    <xf numFmtId="0" fontId="1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5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5" borderId="2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" fillId="8" borderId="4" applyNumberFormat="0" applyFon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10" borderId="1" applyNumberFormat="0" applyAlignment="0" applyProtection="0">
      <alignment vertical="center"/>
    </xf>
    <xf numFmtId="0" fontId="29" fillId="14" borderId="5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4" borderId="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</cellStyleXfs>
  <cellXfs count="194">
    <xf numFmtId="0" fontId="0" fillId="0" borderId="0" xfId="0"/>
    <xf numFmtId="0" fontId="1" fillId="0" borderId="22" xfId="51" applyFont="1" applyFill="1" applyBorder="1" applyAlignment="1" applyProtection="1">
      <alignment horizontal="left"/>
    </xf>
    <xf numFmtId="0" fontId="1" fillId="0" borderId="22" xfId="51" applyFont="1" applyFill="1" applyBorder="1" applyAlignment="1" applyProtection="1">
      <alignment horizontal="center"/>
    </xf>
    <xf numFmtId="0" fontId="1" fillId="18" borderId="22" xfId="51" applyFont="1" applyFill="1" applyBorder="1" applyAlignment="1" applyProtection="1">
      <alignment horizontal="center"/>
    </xf>
    <xf numFmtId="2" fontId="1" fillId="18" borderId="22" xfId="51" applyNumberFormat="1" applyFont="1" applyFill="1" applyBorder="1" applyAlignment="1" applyProtection="1">
      <alignment horizontal="center"/>
    </xf>
    <xf numFmtId="0" fontId="6" fillId="18" borderId="23" xfId="51" applyFont="1" applyFill="1" applyBorder="1" applyAlignment="1" applyProtection="1">
      <alignment horizontal="center"/>
    </xf>
    <xf numFmtId="2" fontId="6" fillId="18" borderId="23" xfId="51" applyNumberFormat="1" applyFont="1" applyFill="1" applyBorder="1" applyAlignment="1" applyProtection="1">
      <alignment horizontal="center"/>
    </xf>
    <xf numFmtId="0" fontId="1" fillId="0" borderId="24" xfId="51" applyFont="1" applyFill="1" applyBorder="1" applyAlignment="1" applyProtection="1">
      <alignment horizontal="center"/>
    </xf>
    <xf numFmtId="2" fontId="6" fillId="18" borderId="22" xfId="51" quotePrefix="1" applyNumberFormat="1" applyFont="1" applyFill="1" applyBorder="1" applyAlignment="1" applyProtection="1">
      <alignment horizontal="center"/>
    </xf>
    <xf numFmtId="0" fontId="1" fillId="18" borderId="24" xfId="51" applyFont="1" applyFill="1" applyBorder="1" applyAlignment="1" applyProtection="1">
      <alignment horizontal="center"/>
    </xf>
    <xf numFmtId="0" fontId="6" fillId="18" borderId="24" xfId="51" applyFont="1" applyFill="1" applyBorder="1" applyAlignment="1" applyProtection="1">
      <alignment horizontal="center"/>
    </xf>
    <xf numFmtId="0" fontId="1" fillId="18" borderId="23" xfId="51" applyFont="1" applyFill="1" applyBorder="1" applyAlignment="1" applyProtection="1">
      <alignment horizontal="center"/>
    </xf>
    <xf numFmtId="2" fontId="1" fillId="18" borderId="23" xfId="51" applyNumberFormat="1" applyFont="1" applyFill="1" applyBorder="1" applyAlignment="1" applyProtection="1">
      <alignment horizontal="center"/>
    </xf>
    <xf numFmtId="0" fontId="1" fillId="0" borderId="25" xfId="51" applyFont="1" applyFill="1" applyBorder="1" applyAlignment="1" applyProtection="1">
      <alignment horizontal="center"/>
    </xf>
    <xf numFmtId="0" fontId="1" fillId="0" borderId="26" xfId="51" applyFont="1" applyFill="1" applyBorder="1" applyAlignment="1" applyProtection="1">
      <alignment horizontal="center"/>
    </xf>
    <xf numFmtId="0" fontId="6" fillId="18" borderId="26" xfId="51" applyFont="1" applyFill="1" applyBorder="1" applyAlignment="1" applyProtection="1">
      <alignment horizontal="center"/>
    </xf>
    <xf numFmtId="2" fontId="6" fillId="18" borderId="27" xfId="51" applyNumberFormat="1" applyFont="1" applyFill="1" applyBorder="1" applyAlignment="1" applyProtection="1">
      <alignment horizontal="center"/>
    </xf>
    <xf numFmtId="2" fontId="6" fillId="18" borderId="10" xfId="51" applyNumberFormat="1" applyFont="1" applyFill="1" applyBorder="1" applyAlignment="1" applyProtection="1">
      <alignment horizontal="center"/>
    </xf>
    <xf numFmtId="0" fontId="4" fillId="0" borderId="0" xfId="51" applyFont="1" applyFill="1" applyBorder="1" applyAlignment="1" applyProtection="1">
      <alignment horizontal="left"/>
    </xf>
    <xf numFmtId="0" fontId="1" fillId="0" borderId="0" xfId="51" applyBorder="1" applyAlignment="1" applyProtection="1">
      <alignment horizontal="left"/>
    </xf>
    <xf numFmtId="0" fontId="1" fillId="0" borderId="0" xfId="51" applyFill="1" applyBorder="1" applyAlignment="1" applyProtection="1">
      <alignment horizontal="left"/>
    </xf>
    <xf numFmtId="0" fontId="6" fillId="18" borderId="22" xfId="51" applyFont="1" applyFill="1" applyBorder="1" applyAlignment="1" applyProtection="1">
      <alignment horizontal="center"/>
    </xf>
    <xf numFmtId="2" fontId="6" fillId="18" borderId="22" xfId="51" applyNumberFormat="1" applyFont="1" applyFill="1" applyBorder="1" applyAlignment="1" applyProtection="1">
      <alignment horizontal="center"/>
    </xf>
    <xf numFmtId="2" fontId="6" fillId="18" borderId="26" xfId="51" applyNumberFormat="1" applyFont="1" applyFill="1" applyBorder="1" applyAlignment="1" applyProtection="1">
      <alignment horizontal="center"/>
    </xf>
    <xf numFmtId="0" fontId="6" fillId="18" borderId="0" xfId="51" applyFont="1" applyFill="1" applyBorder="1" applyAlignment="1" applyProtection="1">
      <alignment horizontal="center"/>
    </xf>
    <xf numFmtId="0" fontId="1" fillId="0" borderId="0" xfId="51" applyFont="1" applyFill="1" applyBorder="1" applyAlignment="1" applyProtection="1">
      <alignment horizontal="center"/>
    </xf>
    <xf numFmtId="0" fontId="1" fillId="0" borderId="0" xfId="51" applyFont="1" applyAlignment="1" applyProtection="1">
      <alignment horizontal="left"/>
    </xf>
    <xf numFmtId="0" fontId="1" fillId="0" borderId="0" xfId="51" applyFont="1" applyAlignment="1" applyProtection="1">
      <alignment horizontal="center"/>
    </xf>
    <xf numFmtId="49" fontId="1" fillId="0" borderId="0" xfId="51" applyNumberFormat="1" applyFont="1" applyFill="1" applyAlignment="1" applyProtection="1">
      <alignment horizontal="right" vertical="center"/>
    </xf>
    <xf numFmtId="2" fontId="1" fillId="21" borderId="0" xfId="51" applyNumberFormat="1" applyFont="1" applyFill="1" applyAlignment="1" applyProtection="1">
      <alignment horizontal="right"/>
      <protection locked="0"/>
    </xf>
    <xf numFmtId="0" fontId="47" fillId="21" borderId="0" xfId="51" applyFont="1" applyFill="1" applyAlignment="1" applyProtection="1">
      <protection locked="0"/>
    </xf>
    <xf numFmtId="0" fontId="6" fillId="0" borderId="0" xfId="51" applyFont="1" applyAlignment="1" applyProtection="1">
      <alignment horizontal="left"/>
    </xf>
    <xf numFmtId="0" fontId="1" fillId="0" borderId="0" xfId="51" applyFont="1" applyFill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5" fontId="1" fillId="0" borderId="0" xfId="51" applyNumberFormat="1" applyFont="1" applyAlignment="1" applyProtection="1">
      <alignment horizontal="center"/>
    </xf>
    <xf numFmtId="0" fontId="6" fillId="0" borderId="0" xfId="51" applyFont="1" applyFill="1" applyBorder="1" applyAlignment="1" applyProtection="1">
      <alignment horizontal="center" vertical="center"/>
    </xf>
    <xf numFmtId="2" fontId="1" fillId="0" borderId="0" xfId="51" applyNumberFormat="1" applyFont="1" applyFill="1" applyBorder="1" applyAlignment="1" applyProtection="1">
      <alignment horizontal="right" vertical="center" indent="1"/>
    </xf>
    <xf numFmtId="0" fontId="1" fillId="0" borderId="0" xfId="0" applyFont="1" applyBorder="1" applyAlignment="1" applyProtection="1">
      <alignment horizontal="center"/>
    </xf>
    <xf numFmtId="164" fontId="1" fillId="0" borderId="0" xfId="51" applyNumberFormat="1" applyFont="1" applyAlignment="1" applyProtection="1">
      <alignment horizontal="left"/>
    </xf>
    <xf numFmtId="0" fontId="1" fillId="0" borderId="0" xfId="51" applyFont="1" applyFill="1" applyBorder="1" applyAlignment="1" applyProtection="1">
      <alignment horizontal="left"/>
    </xf>
    <xf numFmtId="0" fontId="1" fillId="0" borderId="0" xfId="51" applyFont="1" applyFill="1" applyBorder="1" applyAlignment="1" applyProtection="1">
      <alignment horizontal="center" vertical="center"/>
    </xf>
    <xf numFmtId="0" fontId="1" fillId="0" borderId="0" xfId="51" applyFont="1" applyBorder="1" applyAlignment="1" applyProtection="1">
      <alignment horizontal="left"/>
    </xf>
    <xf numFmtId="2" fontId="1" fillId="0" borderId="22" xfId="0" applyNumberFormat="1" applyFont="1" applyFill="1" applyBorder="1" applyAlignment="1" applyProtection="1">
      <alignment horizontal="center"/>
    </xf>
    <xf numFmtId="2" fontId="1" fillId="0" borderId="22" xfId="51" applyNumberFormat="1" applyFont="1" applyFill="1" applyBorder="1" applyAlignment="1" applyProtection="1">
      <alignment horizontal="right" indent="1"/>
    </xf>
    <xf numFmtId="0" fontId="40" fillId="0" borderId="0" xfId="51" applyFont="1" applyFill="1" applyBorder="1" applyAlignment="1" applyProtection="1">
      <alignment horizontal="center" vertical="center"/>
    </xf>
    <xf numFmtId="2" fontId="6" fillId="0" borderId="22" xfId="51" applyNumberFormat="1" applyFont="1" applyFill="1" applyBorder="1" applyAlignment="1" applyProtection="1">
      <alignment horizontal="center"/>
    </xf>
    <xf numFmtId="164" fontId="1" fillId="0" borderId="0" xfId="51" applyNumberFormat="1" applyFont="1" applyAlignment="1" applyProtection="1">
      <alignment horizontal="center"/>
    </xf>
    <xf numFmtId="164" fontId="47" fillId="0" borderId="0" xfId="51" applyNumberFormat="1" applyFont="1" applyAlignment="1" applyProtection="1">
      <alignment horizontal="center"/>
    </xf>
    <xf numFmtId="0" fontId="1" fillId="0" borderId="0" xfId="51" applyFont="1" applyFill="1" applyAlignment="1" applyProtection="1">
      <alignment horizontal="left"/>
    </xf>
    <xf numFmtId="0" fontId="6" fillId="0" borderId="0" xfId="51" applyFont="1" applyFill="1" applyAlignment="1" applyProtection="1">
      <alignment horizontal="left" vertical="top"/>
    </xf>
    <xf numFmtId="2" fontId="1" fillId="0" borderId="0" xfId="51" applyNumberFormat="1" applyFont="1" applyFill="1" applyAlignment="1" applyProtection="1">
      <alignment horizontal="right"/>
    </xf>
    <xf numFmtId="0" fontId="1" fillId="0" borderId="0" xfId="0" applyFont="1" applyBorder="1" applyProtection="1"/>
    <xf numFmtId="2" fontId="1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48" fillId="0" borderId="0" xfId="51" applyFont="1" applyAlignment="1" applyProtection="1">
      <alignment horizontal="center"/>
    </xf>
    <xf numFmtId="0" fontId="1" fillId="0" borderId="11" xfId="51" applyFont="1" applyBorder="1" applyAlignment="1" applyProtection="1">
      <alignment horizontal="left"/>
    </xf>
    <xf numFmtId="49" fontId="1" fillId="0" borderId="12" xfId="51" applyNumberFormat="1" applyFont="1" applyBorder="1" applyAlignment="1" applyProtection="1">
      <alignment horizontal="right" vertical="center"/>
    </xf>
    <xf numFmtId="0" fontId="38" fillId="0" borderId="13" xfId="51" applyFont="1" applyBorder="1" applyAlignment="1" applyProtection="1">
      <alignment horizontal="right" vertical="center"/>
    </xf>
    <xf numFmtId="0" fontId="1" fillId="0" borderId="14" xfId="51" applyFont="1" applyBorder="1" applyAlignment="1" applyProtection="1">
      <alignment horizontal="center"/>
    </xf>
    <xf numFmtId="2" fontId="1" fillId="0" borderId="14" xfId="51" applyNumberFormat="1" applyFont="1" applyFill="1" applyBorder="1" applyAlignment="1" applyProtection="1">
      <alignment horizontal="right" vertical="center" indent="1"/>
    </xf>
    <xf numFmtId="0" fontId="1" fillId="0" borderId="13" xfId="51" applyFont="1" applyBorder="1" applyAlignment="1" applyProtection="1">
      <alignment horizontal="center" vertical="top"/>
    </xf>
    <xf numFmtId="0" fontId="1" fillId="0" borderId="13" xfId="51" applyFont="1" applyFill="1" applyBorder="1" applyAlignment="1" applyProtection="1">
      <alignment horizontal="left"/>
    </xf>
    <xf numFmtId="0" fontId="1" fillId="0" borderId="14" xfId="51" applyFont="1" applyFill="1" applyBorder="1" applyAlignment="1" applyProtection="1">
      <alignment horizontal="left"/>
    </xf>
    <xf numFmtId="0" fontId="1" fillId="0" borderId="13" xfId="51" applyFont="1" applyBorder="1" applyAlignment="1" applyProtection="1">
      <alignment horizontal="left"/>
    </xf>
    <xf numFmtId="0" fontId="1" fillId="0" borderId="14" xfId="51" applyFont="1" applyBorder="1" applyAlignment="1" applyProtection="1">
      <alignment horizontal="left"/>
    </xf>
    <xf numFmtId="0" fontId="38" fillId="0" borderId="13" xfId="51" applyFont="1" applyFill="1" applyBorder="1" applyAlignment="1" applyProtection="1">
      <alignment horizontal="left" vertical="center"/>
    </xf>
    <xf numFmtId="0" fontId="1" fillId="0" borderId="13" xfId="51" applyFont="1" applyFill="1" applyBorder="1" applyAlignment="1" applyProtection="1">
      <alignment horizontal="left" vertical="center"/>
    </xf>
    <xf numFmtId="0" fontId="41" fillId="0" borderId="13" xfId="51" applyFont="1" applyBorder="1" applyAlignment="1" applyProtection="1">
      <alignment horizontal="left" vertical="top"/>
    </xf>
    <xf numFmtId="0" fontId="6" fillId="0" borderId="0" xfId="51" applyFont="1" applyBorder="1" applyAlignment="1" applyProtection="1">
      <alignment horizontal="left" vertical="top"/>
    </xf>
    <xf numFmtId="0" fontId="6" fillId="0" borderId="14" xfId="51" applyFont="1" applyBorder="1" applyAlignment="1" applyProtection="1">
      <alignment horizontal="left" vertical="top"/>
    </xf>
    <xf numFmtId="0" fontId="1" fillId="0" borderId="15" xfId="51" applyFont="1" applyBorder="1" applyAlignment="1" applyProtection="1">
      <alignment horizontal="left"/>
    </xf>
    <xf numFmtId="0" fontId="1" fillId="0" borderId="16" xfId="51" applyFont="1" applyBorder="1" applyAlignment="1" applyProtection="1">
      <alignment horizontal="left"/>
    </xf>
    <xf numFmtId="0" fontId="1" fillId="0" borderId="17" xfId="51" applyFont="1" applyBorder="1" applyAlignment="1" applyProtection="1">
      <alignment horizontal="left"/>
    </xf>
    <xf numFmtId="0" fontId="6" fillId="18" borderId="28" xfId="51" applyFont="1" applyFill="1" applyBorder="1" applyAlignment="1" applyProtection="1">
      <alignment horizontal="center"/>
    </xf>
    <xf numFmtId="0" fontId="1" fillId="0" borderId="29" xfId="51" applyFont="1" applyFill="1" applyBorder="1" applyAlignment="1" applyProtection="1">
      <alignment horizontal="center"/>
    </xf>
    <xf numFmtId="0" fontId="6" fillId="18" borderId="29" xfId="51" applyFont="1" applyFill="1" applyBorder="1" applyAlignment="1" applyProtection="1">
      <alignment horizontal="center"/>
    </xf>
    <xf numFmtId="2" fontId="6" fillId="18" borderId="29" xfId="51" applyNumberFormat="1" applyFont="1" applyFill="1" applyBorder="1" applyAlignment="1" applyProtection="1">
      <alignment horizontal="center"/>
    </xf>
    <xf numFmtId="0" fontId="6" fillId="18" borderId="30" xfId="51" applyFont="1" applyFill="1" applyBorder="1" applyAlignment="1" applyProtection="1">
      <alignment horizontal="center"/>
    </xf>
    <xf numFmtId="0" fontId="1" fillId="18" borderId="30" xfId="51" applyFont="1" applyFill="1" applyBorder="1" applyAlignment="1" applyProtection="1">
      <alignment horizontal="center"/>
    </xf>
    <xf numFmtId="0" fontId="6" fillId="18" borderId="31" xfId="51" applyFont="1" applyFill="1" applyBorder="1" applyAlignment="1" applyProtection="1">
      <alignment horizontal="center"/>
    </xf>
    <xf numFmtId="0" fontId="1" fillId="0" borderId="22" xfId="51" applyFont="1" applyBorder="1" applyAlignment="1" applyProtection="1"/>
    <xf numFmtId="0" fontId="1" fillId="0" borderId="32" xfId="51" applyFont="1" applyBorder="1" applyAlignment="1" applyProtection="1"/>
    <xf numFmtId="0" fontId="1" fillId="0" borderId="28" xfId="51" applyFont="1" applyBorder="1" applyAlignment="1" applyProtection="1"/>
    <xf numFmtId="0" fontId="1" fillId="0" borderId="33" xfId="51" applyFont="1" applyBorder="1" applyAlignment="1" applyProtection="1"/>
    <xf numFmtId="0" fontId="6" fillId="0" borderId="34" xfId="51" applyFont="1" applyBorder="1" applyAlignment="1" applyProtection="1"/>
    <xf numFmtId="0" fontId="1" fillId="0" borderId="34" xfId="51" applyFont="1" applyBorder="1" applyAlignment="1" applyProtection="1"/>
    <xf numFmtId="0" fontId="1" fillId="0" borderId="35" xfId="51" applyFont="1" applyBorder="1" applyAlignment="1" applyProtection="1"/>
    <xf numFmtId="0" fontId="1" fillId="0" borderId="36" xfId="51" applyFont="1" applyBorder="1" applyAlignment="1" applyProtection="1"/>
    <xf numFmtId="0" fontId="6" fillId="0" borderId="33" xfId="51" applyFont="1" applyBorder="1" applyAlignment="1" applyProtection="1"/>
    <xf numFmtId="0" fontId="1" fillId="0" borderId="24" xfId="51" applyFont="1" applyBorder="1" applyAlignment="1" applyProtection="1"/>
    <xf numFmtId="0" fontId="1" fillId="0" borderId="23" xfId="51" applyFont="1" applyBorder="1" applyAlignment="1" applyProtection="1"/>
    <xf numFmtId="0" fontId="5" fillId="0" borderId="23" xfId="0" applyFont="1" applyBorder="1" applyAlignment="1" applyProtection="1"/>
    <xf numFmtId="0" fontId="1" fillId="0" borderId="37" xfId="51" applyFont="1" applyBorder="1" applyAlignment="1" applyProtection="1"/>
    <xf numFmtId="0" fontId="1" fillId="0" borderId="25" xfId="51" applyFont="1" applyBorder="1" applyAlignment="1" applyProtection="1"/>
    <xf numFmtId="0" fontId="1" fillId="0" borderId="26" xfId="51" applyFont="1" applyBorder="1" applyAlignment="1" applyProtection="1"/>
    <xf numFmtId="0" fontId="1" fillId="0" borderId="38" xfId="51" applyFont="1" applyBorder="1" applyAlignment="1" applyProtection="1"/>
    <xf numFmtId="0" fontId="1" fillId="0" borderId="27" xfId="51" applyFont="1" applyBorder="1" applyAlignment="1" applyProtection="1"/>
    <xf numFmtId="0" fontId="1" fillId="0" borderId="22" xfId="51" applyFont="1" applyFill="1" applyBorder="1" applyAlignment="1" applyProtection="1"/>
    <xf numFmtId="0" fontId="6" fillId="0" borderId="22" xfId="51" applyFont="1" applyFill="1" applyBorder="1" applyAlignment="1" applyProtection="1"/>
    <xf numFmtId="0" fontId="6" fillId="0" borderId="22" xfId="51" applyFont="1" applyFill="1" applyBorder="1" applyAlignment="1" applyProtection="1">
      <alignment horizontal="center"/>
    </xf>
    <xf numFmtId="0" fontId="46" fillId="0" borderId="22" xfId="0" applyFont="1" applyFill="1" applyBorder="1" applyAlignment="1" applyProtection="1">
      <alignment horizontal="center"/>
    </xf>
    <xf numFmtId="0" fontId="6" fillId="0" borderId="36" xfId="51" applyFont="1" applyBorder="1" applyAlignment="1" applyProtection="1">
      <alignment horizontal="center"/>
    </xf>
    <xf numFmtId="0" fontId="1" fillId="0" borderId="29" xfId="51" applyFont="1" applyBorder="1" applyAlignment="1" applyProtection="1"/>
    <xf numFmtId="0" fontId="1" fillId="0" borderId="22" xfId="51" quotePrefix="1" applyFont="1" applyBorder="1" applyAlignment="1" applyProtection="1">
      <alignment horizontal="left"/>
    </xf>
    <xf numFmtId="0" fontId="4" fillId="0" borderId="22" xfId="0" applyFont="1" applyBorder="1" applyAlignment="1" applyProtection="1">
      <alignment horizontal="center"/>
    </xf>
    <xf numFmtId="0" fontId="1" fillId="0" borderId="22" xfId="51" quotePrefix="1" applyFont="1" applyBorder="1" applyAlignment="1" applyProtection="1"/>
    <xf numFmtId="0" fontId="4" fillId="0" borderId="26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2" fontId="1" fillId="0" borderId="22" xfId="51" applyNumberFormat="1" applyFont="1" applyBorder="1" applyAlignment="1" applyProtection="1">
      <alignment horizontal="center"/>
    </xf>
    <xf numFmtId="0" fontId="1" fillId="0" borderId="39" xfId="51" applyFont="1" applyBorder="1" applyAlignment="1" applyProtection="1"/>
    <xf numFmtId="0" fontId="1" fillId="0" borderId="40" xfId="51" applyFont="1" applyBorder="1" applyAlignment="1" applyProtection="1"/>
    <xf numFmtId="0" fontId="1" fillId="0" borderId="41" xfId="51" applyFont="1" applyBorder="1" applyAlignment="1" applyProtection="1"/>
    <xf numFmtId="0" fontId="6" fillId="0" borderId="22" xfId="51" applyFont="1" applyBorder="1" applyAlignment="1" applyProtection="1"/>
    <xf numFmtId="0" fontId="1" fillId="0" borderId="31" xfId="51" applyFont="1" applyBorder="1" applyAlignment="1" applyProtection="1"/>
    <xf numFmtId="2" fontId="1" fillId="0" borderId="22" xfId="51" applyNumberFormat="1" applyFont="1" applyBorder="1" applyAlignment="1" applyProtection="1"/>
    <xf numFmtId="0" fontId="1" fillId="0" borderId="22" xfId="51" applyFont="1" applyBorder="1" applyAlignment="1" applyProtection="1">
      <alignment horizontal="center"/>
    </xf>
    <xf numFmtId="0" fontId="1" fillId="0" borderId="22" xfId="51" applyFont="1" applyBorder="1" applyProtection="1"/>
    <xf numFmtId="2" fontId="1" fillId="0" borderId="22" xfId="51" quotePrefix="1" applyNumberFormat="1" applyFont="1" applyBorder="1" applyAlignment="1" applyProtection="1"/>
    <xf numFmtId="2" fontId="6" fillId="18" borderId="0" xfId="51" applyNumberFormat="1" applyFont="1" applyFill="1" applyBorder="1" applyAlignment="1" applyProtection="1">
      <alignment horizontal="center"/>
    </xf>
    <xf numFmtId="2" fontId="39" fillId="0" borderId="31" xfId="0" applyNumberFormat="1" applyFont="1" applyFill="1" applyBorder="1" applyAlignment="1" applyProtection="1">
      <alignment horizontal="center"/>
    </xf>
    <xf numFmtId="2" fontId="1" fillId="0" borderId="29" xfId="51" applyNumberFormat="1" applyFont="1" applyFill="1" applyBorder="1" applyAlignment="1" applyProtection="1">
      <alignment horizontal="right" indent="1"/>
    </xf>
    <xf numFmtId="164" fontId="1" fillId="0" borderId="0" xfId="51" applyNumberFormat="1" applyFont="1" applyFill="1" applyBorder="1" applyAlignment="1" applyProtection="1">
      <alignment horizontal="left"/>
    </xf>
    <xf numFmtId="2" fontId="1" fillId="0" borderId="0" xfId="0" applyNumberFormat="1" applyFont="1" applyFill="1" applyBorder="1" applyAlignment="1" applyProtection="1">
      <alignment horizontal="right" indent="1"/>
    </xf>
    <xf numFmtId="0" fontId="43" fillId="0" borderId="0" xfId="51" applyFont="1" applyFill="1" applyBorder="1" applyAlignment="1" applyProtection="1">
      <alignment horizontal="left"/>
    </xf>
    <xf numFmtId="2" fontId="42" fillId="0" borderId="0" xfId="51" applyNumberFormat="1" applyFont="1" applyFill="1" applyBorder="1" applyAlignment="1" applyProtection="1">
      <alignment horizontal="left" vertical="center"/>
    </xf>
    <xf numFmtId="0" fontId="46" fillId="0" borderId="0" xfId="0" applyFont="1" applyAlignment="1">
      <alignment vertical="center"/>
    </xf>
    <xf numFmtId="0" fontId="45" fillId="0" borderId="0" xfId="49" applyAlignment="1">
      <alignment vertical="center"/>
    </xf>
    <xf numFmtId="0" fontId="4" fillId="0" borderId="0" xfId="51" applyFont="1" applyAlignment="1" applyProtection="1">
      <alignment horizontal="left"/>
    </xf>
    <xf numFmtId="2" fontId="1" fillId="0" borderId="0" xfId="0" applyNumberFormat="1" applyFont="1" applyFill="1" applyBorder="1" applyAlignment="1" applyProtection="1">
      <alignment horizontal="right"/>
    </xf>
    <xf numFmtId="2" fontId="1" fillId="0" borderId="29" xfId="51" applyNumberFormat="1" applyFont="1" applyFill="1" applyBorder="1" applyAlignment="1" applyProtection="1">
      <alignment horizontal="right"/>
    </xf>
    <xf numFmtId="2" fontId="1" fillId="0" borderId="22" xfId="51" applyNumberFormat="1" applyFont="1" applyFill="1" applyBorder="1" applyAlignment="1" applyProtection="1">
      <alignment horizontal="right"/>
    </xf>
    <xf numFmtId="2" fontId="0" fillId="0" borderId="0" xfId="0" applyNumberFormat="1" applyFill="1" applyBorder="1" applyAlignment="1" applyProtection="1">
      <alignment horizontal="center"/>
    </xf>
    <xf numFmtId="0" fontId="0" fillId="0" borderId="0" xfId="0" applyAlignment="1">
      <alignment vertical="top"/>
    </xf>
    <xf numFmtId="2" fontId="4" fillId="0" borderId="22" xfId="51" applyNumberFormat="1" applyFont="1" applyFill="1" applyBorder="1" applyAlignment="1" applyProtection="1">
      <alignment horizontal="right"/>
    </xf>
    <xf numFmtId="0" fontId="1" fillId="0" borderId="0" xfId="51" applyAlignment="1" applyProtection="1">
      <alignment horizontal="center"/>
    </xf>
    <xf numFmtId="0" fontId="4" fillId="0" borderId="0" xfId="51" applyFont="1" applyBorder="1" applyAlignment="1" applyProtection="1">
      <alignment horizontal="left"/>
    </xf>
    <xf numFmtId="0" fontId="4" fillId="0" borderId="0" xfId="51" applyFont="1" applyBorder="1" applyAlignment="1" applyProtection="1">
      <alignment horizontal="center" vertical="top"/>
    </xf>
    <xf numFmtId="0" fontId="42" fillId="19" borderId="18" xfId="51" applyFont="1" applyFill="1" applyBorder="1" applyAlignment="1" applyProtection="1">
      <alignment horizontal="center" vertical="center"/>
    </xf>
    <xf numFmtId="0" fontId="5" fillId="0" borderId="10" xfId="51" applyFont="1" applyBorder="1" applyAlignment="1" applyProtection="1">
      <alignment horizontal="left" vertical="center"/>
    </xf>
    <xf numFmtId="2" fontId="4" fillId="22" borderId="19" xfId="51" applyNumberFormat="1" applyFont="1" applyFill="1" applyBorder="1" applyAlignment="1" applyProtection="1">
      <alignment horizontal="right" vertical="center" indent="1"/>
    </xf>
    <xf numFmtId="0" fontId="42" fillId="0" borderId="10" xfId="51" applyFont="1" applyBorder="1" applyAlignment="1" applyProtection="1">
      <alignment horizontal="left" vertical="center"/>
    </xf>
    <xf numFmtId="0" fontId="5" fillId="0" borderId="0" xfId="51" applyFont="1" applyFill="1" applyBorder="1" applyAlignment="1" applyProtection="1">
      <alignment horizontal="center" vertical="center"/>
    </xf>
    <xf numFmtId="0" fontId="5" fillId="0" borderId="19" xfId="51" applyFont="1" applyBorder="1" applyAlignment="1" applyProtection="1">
      <alignment horizontal="center" vertical="center"/>
    </xf>
    <xf numFmtId="0" fontId="1" fillId="0" borderId="0" xfId="51" applyFont="1" applyFill="1" applyBorder="1" applyAlignment="1" applyProtection="1">
      <alignment horizontal="center" vertical="center"/>
    </xf>
    <xf numFmtId="0" fontId="5" fillId="22" borderId="21" xfId="51" applyFont="1" applyFill="1" applyBorder="1" applyAlignment="1" applyProtection="1">
      <alignment horizontal="center" vertical="center"/>
    </xf>
    <xf numFmtId="0" fontId="42" fillId="25" borderId="10" xfId="51" applyFont="1" applyFill="1" applyBorder="1" applyAlignment="1" applyProtection="1">
      <alignment horizontal="left" vertical="center"/>
    </xf>
    <xf numFmtId="0" fontId="5" fillId="25" borderId="21" xfId="51" applyFont="1" applyFill="1" applyBorder="1" applyAlignment="1" applyProtection="1">
      <alignment horizontal="center" vertical="center"/>
    </xf>
    <xf numFmtId="2" fontId="4" fillId="26" borderId="19" xfId="0" applyNumberFormat="1" applyFont="1" applyFill="1" applyBorder="1" applyAlignment="1" applyProtection="1">
      <alignment horizontal="right" indent="1"/>
      <protection locked="0"/>
    </xf>
    <xf numFmtId="0" fontId="50" fillId="0" borderId="10" xfId="51" applyFont="1" applyBorder="1" applyAlignment="1" applyProtection="1">
      <alignment horizontal="left" vertical="center"/>
    </xf>
    <xf numFmtId="0" fontId="4" fillId="22" borderId="10" xfId="51" applyFont="1" applyFill="1" applyBorder="1" applyAlignment="1" applyProtection="1">
      <alignment horizontal="left" vertical="center"/>
    </xf>
    <xf numFmtId="0" fontId="4" fillId="0" borderId="19" xfId="51" applyFont="1" applyBorder="1" applyAlignment="1" applyProtection="1">
      <alignment horizontal="center" vertical="center"/>
    </xf>
    <xf numFmtId="0" fontId="0" fillId="23" borderId="20" xfId="0" applyFont="1" applyFill="1" applyBorder="1" applyAlignment="1">
      <alignment horizontal="left" vertical="center" indent="3"/>
    </xf>
    <xf numFmtId="0" fontId="0" fillId="23" borderId="16" xfId="0" applyFont="1" applyFill="1" applyBorder="1" applyAlignment="1">
      <alignment horizontal="left" vertical="center" indent="3"/>
    </xf>
    <xf numFmtId="2" fontId="5" fillId="20" borderId="19" xfId="0" applyNumberFormat="1" applyFont="1" applyFill="1" applyBorder="1" applyAlignment="1" applyProtection="1">
      <alignment horizontal="right" indent="1"/>
      <protection locked="0"/>
    </xf>
    <xf numFmtId="2" fontId="5" fillId="22" borderId="19" xfId="51" applyNumberFormat="1" applyFont="1" applyFill="1" applyBorder="1" applyAlignment="1" applyProtection="1">
      <alignment horizontal="right" vertical="center" indent="1"/>
    </xf>
    <xf numFmtId="2" fontId="5" fillId="25" borderId="19" xfId="51" applyNumberFormat="1" applyFont="1" applyFill="1" applyBorder="1" applyAlignment="1" applyProtection="1">
      <alignment horizontal="right" vertical="center" indent="1"/>
    </xf>
    <xf numFmtId="0" fontId="54" fillId="0" borderId="0" xfId="51" applyFont="1" applyFill="1" applyBorder="1" applyAlignment="1" applyProtection="1">
      <alignment horizontal="right"/>
    </xf>
    <xf numFmtId="0" fontId="2" fillId="0" borderId="20" xfId="51" applyFont="1" applyBorder="1" applyAlignment="1" applyProtection="1">
      <alignment horizontal="center"/>
    </xf>
    <xf numFmtId="0" fontId="2" fillId="0" borderId="0" xfId="51" applyFont="1" applyBorder="1" applyAlignment="1" applyProtection="1">
      <alignment horizontal="center"/>
    </xf>
    <xf numFmtId="0" fontId="1" fillId="0" borderId="0" xfId="51" applyFont="1" applyFill="1" applyBorder="1" applyAlignment="1" applyProtection="1">
      <alignment horizontal="center" vertical="center"/>
    </xf>
    <xf numFmtId="2" fontId="6" fillId="0" borderId="0" xfId="51" applyNumberFormat="1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 applyProtection="1">
      <alignment horizontal="center" vertical="center"/>
    </xf>
    <xf numFmtId="0" fontId="3" fillId="0" borderId="0" xfId="51" applyFont="1" applyBorder="1" applyAlignment="1" applyProtection="1">
      <alignment horizontal="center" vertical="center"/>
    </xf>
    <xf numFmtId="0" fontId="42" fillId="23" borderId="16" xfId="51" applyFont="1" applyFill="1" applyBorder="1" applyAlignment="1" applyProtection="1">
      <alignment horizontal="left" vertical="center" indent="1"/>
      <protection locked="0"/>
    </xf>
    <xf numFmtId="0" fontId="0" fillId="23" borderId="16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0" fillId="0" borderId="0" xfId="0" applyAlignment="1">
      <alignment vertical="top" wrapText="1"/>
    </xf>
    <xf numFmtId="2" fontId="5" fillId="0" borderId="42" xfId="51" applyNumberFormat="1" applyFont="1" applyFill="1" applyBorder="1" applyAlignment="1" applyProtection="1">
      <alignment horizontal="left" vertical="top" wrapText="1"/>
    </xf>
    <xf numFmtId="0" fontId="0" fillId="0" borderId="43" xfId="0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42" xfId="0" applyBorder="1" applyAlignment="1">
      <alignment wrapText="1"/>
    </xf>
    <xf numFmtId="0" fontId="0" fillId="0" borderId="0" xfId="0" applyAlignment="1">
      <alignment wrapText="1"/>
    </xf>
    <xf numFmtId="0" fontId="0" fillId="0" borderId="43" xfId="0" applyBorder="1" applyAlignment="1">
      <alignment wrapText="1"/>
    </xf>
    <xf numFmtId="0" fontId="42" fillId="23" borderId="44" xfId="51" applyFont="1" applyFill="1" applyBorder="1" applyAlignment="1" applyProtection="1">
      <alignment horizontal="left" vertical="center" indent="1"/>
      <protection locked="0"/>
    </xf>
    <xf numFmtId="0" fontId="0" fillId="23" borderId="44" xfId="0" applyFont="1" applyFill="1" applyBorder="1" applyAlignment="1" applyProtection="1">
      <alignment horizontal="left" vertical="center" indent="1"/>
      <protection locked="0"/>
    </xf>
    <xf numFmtId="49" fontId="52" fillId="26" borderId="44" xfId="51" applyNumberFormat="1" applyFont="1" applyFill="1" applyBorder="1" applyAlignment="1" applyProtection="1">
      <alignment horizontal="left" vertical="center" indent="1"/>
      <protection locked="0"/>
    </xf>
    <xf numFmtId="49" fontId="53" fillId="26" borderId="44" xfId="0" applyNumberFormat="1" applyFont="1" applyFill="1" applyBorder="1" applyAlignment="1" applyProtection="1">
      <alignment horizontal="left" vertical="center" indent="1"/>
      <protection locked="0"/>
    </xf>
    <xf numFmtId="0" fontId="5" fillId="23" borderId="20" xfId="51" applyNumberFormat="1" applyFont="1" applyFill="1" applyBorder="1" applyAlignment="1" applyProtection="1">
      <alignment horizontal="left" vertical="center"/>
    </xf>
    <xf numFmtId="0" fontId="0" fillId="23" borderId="16" xfId="0" applyFont="1" applyFill="1" applyBorder="1" applyAlignment="1">
      <alignment horizontal="left" vertical="center"/>
    </xf>
    <xf numFmtId="49" fontId="50" fillId="26" borderId="44" xfId="51" applyNumberFormat="1" applyFont="1" applyFill="1" applyBorder="1" applyAlignment="1" applyProtection="1">
      <alignment horizontal="left" vertical="center" indent="1"/>
      <protection locked="0"/>
    </xf>
    <xf numFmtId="49" fontId="0" fillId="26" borderId="44" xfId="0" applyNumberFormat="1" applyFont="1" applyFill="1" applyBorder="1" applyAlignment="1" applyProtection="1">
      <alignment horizontal="left" vertical="center" indent="1"/>
      <protection locked="0"/>
    </xf>
    <xf numFmtId="0" fontId="5" fillId="0" borderId="0" xfId="51" applyFont="1" applyFill="1" applyBorder="1" applyAlignment="1" applyProtection="1">
      <alignment horizontal="left" vertical="top" wrapText="1"/>
    </xf>
    <xf numFmtId="0" fontId="46" fillId="0" borderId="0" xfId="0" applyFont="1" applyAlignment="1">
      <alignment vertical="top" wrapText="1"/>
    </xf>
    <xf numFmtId="0" fontId="5" fillId="0" borderId="0" xfId="51" applyFont="1" applyAlignment="1" applyProtection="1">
      <alignment horizontal="left" vertical="top" wrapText="1"/>
    </xf>
    <xf numFmtId="2" fontId="42" fillId="0" borderId="0" xfId="51" applyNumberFormat="1" applyFont="1" applyFill="1" applyBorder="1" applyAlignment="1" applyProtection="1">
      <alignment horizontal="left" vertical="center"/>
    </xf>
    <xf numFmtId="0" fontId="0" fillId="0" borderId="0" xfId="0" applyAlignment="1"/>
    <xf numFmtId="0" fontId="5" fillId="23" borderId="20" xfId="51" applyNumberFormat="1" applyFont="1" applyFill="1" applyBorder="1" applyAlignment="1" applyProtection="1">
      <alignment horizontal="center" vertical="center"/>
    </xf>
    <xf numFmtId="0" fontId="5" fillId="23" borderId="16" xfId="51" applyNumberFormat="1" applyFont="1" applyFill="1" applyBorder="1" applyAlignment="1" applyProtection="1">
      <alignment horizontal="center" vertical="center"/>
    </xf>
    <xf numFmtId="0" fontId="5" fillId="0" borderId="0" xfId="51" applyNumberFormat="1" applyFont="1" applyFill="1" applyBorder="1" applyAlignment="1" applyProtection="1">
      <alignment horizontal="right" vertical="center"/>
    </xf>
    <xf numFmtId="0" fontId="50" fillId="0" borderId="0" xfId="51" applyFont="1" applyBorder="1" applyAlignment="1" applyProtection="1">
      <alignment horizontal="right"/>
    </xf>
    <xf numFmtId="0" fontId="42" fillId="0" borderId="0" xfId="51" applyFont="1" applyBorder="1" applyAlignment="1" applyProtection="1">
      <alignment horizontal="right"/>
    </xf>
    <xf numFmtId="0" fontId="6" fillId="24" borderId="10" xfId="51" applyFont="1" applyFill="1" applyBorder="1" applyAlignment="1" applyProtection="1">
      <alignment horizontal="center"/>
    </xf>
    <xf numFmtId="0" fontId="6" fillId="24" borderId="12" xfId="51" applyFont="1" applyFill="1" applyBorder="1" applyAlignment="1" applyProtection="1">
      <alignment horizontal="center"/>
    </xf>
  </cellXfs>
  <cellStyles count="86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20% - アクセント 1" xfId="7"/>
    <cellStyle name="20% - アクセント 2" xfId="8"/>
    <cellStyle name="20% - アクセント 3" xfId="9"/>
    <cellStyle name="20% - アクセント 4" xfId="10"/>
    <cellStyle name="20% - アクセント 5" xfId="11"/>
    <cellStyle name="20% - アクセント 6" xfId="12"/>
    <cellStyle name="40% - Énfasis1" xfId="13"/>
    <cellStyle name="40% - Énfasis2" xfId="14"/>
    <cellStyle name="40% - Énfasis3" xfId="15"/>
    <cellStyle name="40% - Énfasis4" xfId="16"/>
    <cellStyle name="40% - Énfasis5" xfId="17"/>
    <cellStyle name="40% - Énfasis6" xfId="18"/>
    <cellStyle name="40% - アクセント 1" xfId="19"/>
    <cellStyle name="40% - アクセント 2" xfId="20"/>
    <cellStyle name="40% - アクセント 3" xfId="21"/>
    <cellStyle name="40% - アクセント 4" xfId="22"/>
    <cellStyle name="40% - アクセント 5" xfId="23"/>
    <cellStyle name="40% - アクセント 6" xfId="24"/>
    <cellStyle name="60% - Énfasis1" xfId="25"/>
    <cellStyle name="60% - Énfasis2" xfId="26"/>
    <cellStyle name="60% - Énfasis3" xfId="27"/>
    <cellStyle name="60% - Énfasis4" xfId="28"/>
    <cellStyle name="60% - Énfasis5" xfId="29"/>
    <cellStyle name="60% - Énfasis6" xfId="30"/>
    <cellStyle name="60% - アクセント 1" xfId="31"/>
    <cellStyle name="60% - アクセント 2" xfId="32"/>
    <cellStyle name="60% - アクセント 3" xfId="33"/>
    <cellStyle name="60% - アクセント 4" xfId="34"/>
    <cellStyle name="60% - アクセント 5" xfId="35"/>
    <cellStyle name="60% - アクセント 6" xfId="36"/>
    <cellStyle name="Buena" xfId="37"/>
    <cellStyle name="Cálculo" xfId="38"/>
    <cellStyle name="Celda de comprobación" xfId="39"/>
    <cellStyle name="Celda vinculada" xfId="40"/>
    <cellStyle name="Encabezado 4" xfId="41"/>
    <cellStyle name="Énfasis1" xfId="42"/>
    <cellStyle name="Énfasis2" xfId="43"/>
    <cellStyle name="Énfasis3" xfId="44"/>
    <cellStyle name="Énfasis4" xfId="45"/>
    <cellStyle name="Énfasis5" xfId="46"/>
    <cellStyle name="Énfasis6" xfId="47"/>
    <cellStyle name="Entrada" xfId="48"/>
    <cellStyle name="Hyperlink" xfId="49" builtinId="8"/>
    <cellStyle name="Incorrecto" xfId="50"/>
    <cellStyle name="Normal" xfId="0" builtinId="0"/>
    <cellStyle name="Normal 2" xfId="51"/>
    <cellStyle name="Normal 2 2" xfId="52"/>
    <cellStyle name="Normal 3" xfId="53"/>
    <cellStyle name="Notas" xfId="54"/>
    <cellStyle name="Salida" xfId="55"/>
    <cellStyle name="Texto de advertencia" xfId="56"/>
    <cellStyle name="Texto explicativo" xfId="57"/>
    <cellStyle name="Título" xfId="58"/>
    <cellStyle name="Título 1" xfId="59"/>
    <cellStyle name="Título 2" xfId="60"/>
    <cellStyle name="Título 3" xfId="61"/>
    <cellStyle name="Título_Lang Boat" xfId="62"/>
    <cellStyle name="アクセント 1" xfId="63"/>
    <cellStyle name="アクセント 2" xfId="64"/>
    <cellStyle name="アクセント 3" xfId="65"/>
    <cellStyle name="アクセント 4" xfId="66"/>
    <cellStyle name="アクセント 5" xfId="67"/>
    <cellStyle name="アクセント 6" xfId="68"/>
    <cellStyle name="タイトル" xfId="69"/>
    <cellStyle name="チェック セル" xfId="70"/>
    <cellStyle name="どちらでもない" xfId="71"/>
    <cellStyle name="メモ" xfId="72"/>
    <cellStyle name="リンク セル" xfId="73"/>
    <cellStyle name="入力" xfId="74"/>
    <cellStyle name="出力" xfId="75"/>
    <cellStyle name="悪い" xfId="76"/>
    <cellStyle name="良い" xfId="77"/>
    <cellStyle name="見出し 1" xfId="78"/>
    <cellStyle name="見出し 2" xfId="79"/>
    <cellStyle name="見出し 3" xfId="80"/>
    <cellStyle name="見出し 4" xfId="81"/>
    <cellStyle name="計算" xfId="82"/>
    <cellStyle name="説明文" xfId="83"/>
    <cellStyle name="警告文" xfId="84"/>
    <cellStyle name="集計" xfId="85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Dummy Hor</c:v>
          </c:tx>
          <c:spPr>
            <a:ln>
              <a:noFill/>
            </a:ln>
          </c:spPr>
          <c:marker>
            <c:symbol val="none"/>
          </c:marker>
          <c:xVal>
            <c:numRef>
              <c:f>'Calcs-1'!$N$17:$N$18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'Calcs-1'!$O$17:$O$18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Dummy Vert</c:v>
          </c:tx>
          <c:spPr>
            <a:ln>
              <a:noFill/>
            </a:ln>
          </c:spPr>
          <c:marker>
            <c:symbol val="none"/>
          </c:marker>
          <c:xVal>
            <c:numRef>
              <c:f>'Calcs-1'!$N$19:$N$20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'Calcs-1'!$O$19:$O$20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ser>
          <c:idx val="4"/>
          <c:order val="2"/>
          <c:tx>
            <c:strRef>
              <c:f>'Calcs-1'!$H$16</c:f>
              <c:strCache>
                <c:ptCount val="1"/>
                <c:pt idx="0">
                  <c:v>Leech Length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  <a:headEnd type="triangle"/>
              <a:tailEnd type="triangle"/>
            </a:ln>
          </c:spPr>
          <c:marker>
            <c:symbol val="none"/>
          </c:marker>
          <c:xVal>
            <c:numRef>
              <c:f>'Calcs-1'!$J$16:$J$17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'Calcs-1'!$K$16:$K$17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ser>
          <c:idx val="5"/>
          <c:order val="3"/>
          <c:tx>
            <c:strRef>
              <c:f>'Calcs-1'!$H$18</c:f>
              <c:strCache>
                <c:ptCount val="1"/>
                <c:pt idx="0">
                  <c:v>Luff Length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  <a:headEnd type="triangle"/>
              <a:tailEnd type="triangle"/>
            </a:ln>
          </c:spPr>
          <c:marker>
            <c:symbol val="none"/>
          </c:marker>
          <c:xVal>
            <c:numRef>
              <c:f>'Calcs-1'!$J$18:$J$19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'Calcs-1'!$K$18:$K$19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ser>
          <c:idx val="6"/>
          <c:order val="4"/>
          <c:tx>
            <c:strRef>
              <c:f>'Calcs-1'!$H$20</c:f>
              <c:strCache>
                <c:ptCount val="1"/>
                <c:pt idx="0">
                  <c:v>Foot Length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  <a:headEnd type="triangle"/>
              <a:tailEnd type="triangle"/>
            </a:ln>
          </c:spPr>
          <c:marker>
            <c:symbol val="none"/>
          </c:marker>
          <c:xVal>
            <c:numRef>
              <c:f>'Calcs-1'!$J$20:$J$21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'Calcs-1'!$K$20:$K$21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ser>
          <c:idx val="7"/>
          <c:order val="5"/>
          <c:tx>
            <c:strRef>
              <c:f>'Calcs-1'!$H$22</c:f>
              <c:strCache>
                <c:ptCount val="1"/>
                <c:pt idx="0">
                  <c:v>SHW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  <a:headEnd type="triangle"/>
              <a:tailEnd type="triangle"/>
            </a:ln>
          </c:spPr>
          <c:marker>
            <c:symbol val="none"/>
          </c:marker>
          <c:xVal>
            <c:numRef>
              <c:f>'Calcs-1'!$J$22:$J$23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'Calcs-1'!$K$22:$K$23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ser>
          <c:idx val="8"/>
          <c:order val="6"/>
          <c:tx>
            <c:v>LuffTickTop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'Calcs-1'!$J$58:$J$59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'Calcs-1'!$K$58:$K$59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ser>
          <c:idx val="9"/>
          <c:order val="7"/>
          <c:tx>
            <c:v>LuffTickBot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'Calcs-1'!$J$60:$J$61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'Calcs-1'!$K$60:$K$61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ser>
          <c:idx val="10"/>
          <c:order val="8"/>
          <c:tx>
            <c:v>LeechTopTick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'Calcs-1'!$J$65:$J$66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'Calcs-1'!$K$65:$K$66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ser>
          <c:idx val="11"/>
          <c:order val="9"/>
          <c:tx>
            <c:v>LeechTickBot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'Calcs-1'!$J$67:$J$68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'Calcs-1'!$K$67:$K$68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ser>
          <c:idx val="12"/>
          <c:order val="10"/>
          <c:tx>
            <c:strRef>
              <c:f>'Calcs-1'!$H$45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'Calcs-1'!$J$45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'Calcs-1'!$K$45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13"/>
          <c:order val="11"/>
          <c:tx>
            <c:strRef>
              <c:f>'Calcs-1'!$H$46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'Calcs-1'!$J$46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'Calcs-1'!$K$46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14"/>
          <c:order val="12"/>
          <c:tx>
            <c:strRef>
              <c:f>'Calcs-1'!$H$49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'Calcs-1'!$J$49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'Calcs-1'!$K$49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15"/>
          <c:order val="13"/>
          <c:tx>
            <c:v>FootTickLeft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'Calcs-1'!$J$72:$J$73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'Calcs-1'!$K$72:$K$73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ser>
          <c:idx val="16"/>
          <c:order val="14"/>
          <c:tx>
            <c:v>FootTickRight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'Calcs-1'!$J$74:$J$75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'Calcs-1'!$K$74:$K$75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ser>
          <c:idx val="17"/>
          <c:order val="15"/>
          <c:tx>
            <c:strRef>
              <c:f>'Calcs-1'!$H$53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'Calcs-1'!$J$53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'Calcs-1'!$K$53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18"/>
          <c:order val="16"/>
          <c:tx>
            <c:strRef>
              <c:f>'Calcs-1'!$H$51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'Calcs-1'!$J$51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'Calcs-1'!$K$51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19"/>
          <c:order val="17"/>
          <c:tx>
            <c:v>LuffLeechFoot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'Calcs-1'!$J$4:$J$14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'Calcs-1'!$K$4:$K$14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957616"/>
        <c:axId val="861955656"/>
      </c:scatterChart>
      <c:valAx>
        <c:axId val="861957616"/>
        <c:scaling>
          <c:orientation val="maxMin"/>
        </c:scaling>
        <c:delete val="1"/>
        <c:axPos val="b"/>
        <c:numFmt formatCode="0.00" sourceLinked="1"/>
        <c:majorTickMark val="out"/>
        <c:minorTickMark val="none"/>
        <c:tickLblPos val="nextTo"/>
        <c:crossAx val="861955656"/>
        <c:crosses val="autoZero"/>
        <c:crossBetween val="midCat"/>
        <c:majorUnit val="0.5"/>
      </c:valAx>
      <c:valAx>
        <c:axId val="861955656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861957616"/>
        <c:crosses val="autoZero"/>
        <c:crossBetween val="midCat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Radio" checked="Checked" firstButton="1" fmlaLink="$S$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533400</xdr:colOff>
          <xdr:row>10</xdr:row>
          <xdr:rowOff>95250</xdr:rowOff>
        </xdr:from>
        <xdr:to>
          <xdr:col>5</xdr:col>
          <xdr:colOff>247650</xdr:colOff>
          <xdr:row>11</xdr:row>
          <xdr:rowOff>114300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10</xdr:row>
          <xdr:rowOff>95250</xdr:rowOff>
        </xdr:from>
        <xdr:to>
          <xdr:col>6</xdr:col>
          <xdr:colOff>485775</xdr:colOff>
          <xdr:row>11</xdr:row>
          <xdr:rowOff>114300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352425</xdr:colOff>
      <xdr:row>15</xdr:row>
      <xdr:rowOff>180975</xdr:rowOff>
    </xdr:from>
    <xdr:to>
      <xdr:col>14</xdr:col>
      <xdr:colOff>47625</xdr:colOff>
      <xdr:row>60</xdr:row>
      <xdr:rowOff>142875</xdr:rowOff>
    </xdr:to>
    <xdr:graphicFrame macro="">
      <xdr:nvGraphicFramePr>
        <xdr:cNvPr id="1463756" name="Chart 3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219074</xdr:colOff>
      <xdr:row>0</xdr:row>
      <xdr:rowOff>28576</xdr:rowOff>
    </xdr:from>
    <xdr:to>
      <xdr:col>11</xdr:col>
      <xdr:colOff>761999</xdr:colOff>
      <xdr:row>2</xdr:row>
      <xdr:rowOff>110583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699" y="28576"/>
          <a:ext cx="1304925" cy="558257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0</xdr:row>
      <xdr:rowOff>28575</xdr:rowOff>
    </xdr:from>
    <xdr:to>
      <xdr:col>4</xdr:col>
      <xdr:colOff>507687</xdr:colOff>
      <xdr:row>2</xdr:row>
      <xdr:rowOff>142874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8575"/>
          <a:ext cx="1498287" cy="59054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16</xdr:row>
      <xdr:rowOff>19050</xdr:rowOff>
    </xdr:from>
    <xdr:to>
      <xdr:col>12</xdr:col>
      <xdr:colOff>19050</xdr:colOff>
      <xdr:row>37</xdr:row>
      <xdr:rowOff>19050</xdr:rowOff>
    </xdr:to>
    <xdr:sp macro="" textlink="" fLocksText="0">
      <xdr:nvSpPr>
        <xdr:cNvPr id="2" name="TextBox 1"/>
        <xdr:cNvSpPr txBox="1"/>
      </xdr:nvSpPr>
      <xdr:spPr>
        <a:xfrm>
          <a:off x="1781175" y="3209925"/>
          <a:ext cx="5524500" cy="3733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171450</xdr:colOff>
      <xdr:row>0</xdr:row>
      <xdr:rowOff>123825</xdr:rowOff>
    </xdr:from>
    <xdr:to>
      <xdr:col>24</xdr:col>
      <xdr:colOff>466725</xdr:colOff>
      <xdr:row>40</xdr:row>
      <xdr:rowOff>0</xdr:rowOff>
    </xdr:to>
    <xdr:sp macro="" textlink="">
      <xdr:nvSpPr>
        <xdr:cNvPr id="8" name="TextBox 7"/>
        <xdr:cNvSpPr txBox="1"/>
      </xdr:nvSpPr>
      <xdr:spPr>
        <a:xfrm>
          <a:off x="7667625" y="123825"/>
          <a:ext cx="4486275" cy="7258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How to Measure a Spinnaker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Lay the sail flat.  All measurements are taken in a straight line. The sail should only be stretched enough to remove any wrinkles that cross the measurement line.  Wrinkles parallel to the measurement line are okay. 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measuring to a rounded corner of a sail, the measurement point is the intersection of the projected sail edges.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LUFF &amp; LEECH – SLU, SLE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Luff and Leech lengths are measured from the Head Point to the Tack and Clew Points, respectively.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HALF WIDTH – SHW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Half Width is taken from the mid-points of the luff and leech.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Fold the Head Point to meet the Tack and Clew Points to find the mid-points.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FOOT LENGTH – SFL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Foot Length is taken from the Tack and Clew Points.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MAXIMUM WIDTH – SMW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Max Width is not required, but is sometimes provided.  It is only used if greater than SHW.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#   #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AP96"/>
  <sheetViews>
    <sheetView showGridLines="0" tabSelected="1" zoomScaleNormal="100" workbookViewId="0">
      <selection activeCell="E8" sqref="E8:G8"/>
    </sheetView>
  </sheetViews>
  <sheetFormatPr defaultRowHeight="12.75"/>
  <cols>
    <col min="1" max="1" width="9.140625" style="26" customWidth="1"/>
    <col min="2" max="2" width="1.42578125" style="26" customWidth="1"/>
    <col min="3" max="3" width="7.140625" style="26" customWidth="1"/>
    <col min="4" max="4" width="9" style="26" customWidth="1"/>
    <col min="5" max="7" width="8.5703125" style="26" customWidth="1"/>
    <col min="8" max="8" width="3" style="26" customWidth="1"/>
    <col min="9" max="9" width="24.7109375" style="26" customWidth="1"/>
    <col min="10" max="10" width="6.28515625" style="26" customWidth="1"/>
    <col min="11" max="12" width="11.42578125" style="26" customWidth="1"/>
    <col min="13" max="13" width="1.7109375" style="26" customWidth="1"/>
    <col min="14" max="14" width="1.42578125" style="26" customWidth="1"/>
    <col min="15" max="15" width="4.5703125" style="48" customWidth="1"/>
    <col min="16" max="16" width="4.7109375" style="48" customWidth="1"/>
    <col min="17" max="17" width="1.42578125" style="26" customWidth="1"/>
    <col min="18" max="19" width="7.5703125" style="50" hidden="1" customWidth="1"/>
    <col min="20" max="20" width="3.5703125" style="26" customWidth="1"/>
    <col min="21" max="21" width="11.85546875" style="26" customWidth="1"/>
    <col min="22" max="22" width="13" style="27" customWidth="1"/>
    <col min="23" max="24" width="11.85546875" style="27" customWidth="1"/>
    <col min="25" max="25" width="16.7109375" style="27" customWidth="1"/>
    <col min="26" max="33" width="11.85546875" style="27" customWidth="1"/>
    <col min="34" max="34" width="11.85546875" style="26" customWidth="1"/>
    <col min="35" max="35" width="9.28515625" style="26" customWidth="1"/>
    <col min="36" max="36" width="19.140625" style="26" customWidth="1"/>
    <col min="37" max="16384" width="9.140625" style="26"/>
  </cols>
  <sheetData>
    <row r="1" spans="2:42" ht="18.75" customHeight="1">
      <c r="B1" s="55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56"/>
      <c r="O1" s="28"/>
      <c r="P1" s="28"/>
      <c r="S1" s="30">
        <v>1</v>
      </c>
      <c r="U1" s="31"/>
      <c r="Z1" s="31"/>
    </row>
    <row r="2" spans="2:42" ht="18.75" customHeight="1">
      <c r="B2" s="57"/>
      <c r="C2" s="158" t="s">
        <v>91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58"/>
      <c r="O2" s="32"/>
      <c r="P2" s="32"/>
      <c r="W2" s="33"/>
      <c r="AG2" s="34"/>
    </row>
    <row r="3" spans="2:42" ht="18.75" customHeight="1">
      <c r="B3" s="57"/>
      <c r="C3" s="162" t="s">
        <v>92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58"/>
      <c r="O3" s="32"/>
      <c r="P3" s="32"/>
      <c r="W3" s="33"/>
      <c r="AG3" s="34"/>
    </row>
    <row r="4" spans="2:42" ht="15" customHeight="1">
      <c r="B4" s="57"/>
      <c r="C4" s="135"/>
      <c r="D4" s="135"/>
      <c r="E4" s="135"/>
      <c r="F4" s="135"/>
      <c r="G4" s="135"/>
      <c r="H4" s="136"/>
      <c r="I4" s="135"/>
      <c r="J4" s="135"/>
      <c r="K4" s="137" t="str">
        <f>IF($S$1=1,"Meters","Feet")</f>
        <v>Meters</v>
      </c>
      <c r="L4" s="137" t="str">
        <f>IF($S$1=2,"Meters","Feet")</f>
        <v>Feet</v>
      </c>
      <c r="M4" s="20"/>
      <c r="N4" s="59"/>
      <c r="O4" s="160"/>
      <c r="P4" s="161"/>
      <c r="U4" s="123"/>
      <c r="V4" s="131"/>
      <c r="W4" s="131"/>
      <c r="X4" s="131"/>
      <c r="Y4" s="131"/>
      <c r="Z4" s="25"/>
      <c r="AA4" s="25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41"/>
    </row>
    <row r="5" spans="2:42" ht="15" customHeight="1">
      <c r="B5" s="60"/>
      <c r="C5" s="191" t="s">
        <v>42</v>
      </c>
      <c r="D5" s="191"/>
      <c r="E5" s="163"/>
      <c r="F5" s="164"/>
      <c r="G5" s="164"/>
      <c r="H5" s="136"/>
      <c r="I5" s="138" t="s">
        <v>73</v>
      </c>
      <c r="J5" s="142" t="s">
        <v>83</v>
      </c>
      <c r="K5" s="153"/>
      <c r="L5" s="154" t="str">
        <f>IF(K5&gt;0,IF($S$1=1,K5/0.3048,K5*0.3048),"")</f>
        <v/>
      </c>
      <c r="M5" s="36"/>
      <c r="N5" s="59"/>
      <c r="O5" s="160"/>
      <c r="P5" s="161"/>
      <c r="R5" s="29">
        <f>ROUND(K5,2)</f>
        <v>0</v>
      </c>
      <c r="S5" s="29" t="e">
        <f>ROUND(L5,2)</f>
        <v>#VALUE!</v>
      </c>
      <c r="U5" s="124"/>
      <c r="V5" s="18"/>
      <c r="W5" s="18"/>
      <c r="X5" s="18"/>
      <c r="Y5" s="18"/>
      <c r="Z5" s="39"/>
      <c r="AA5" s="121"/>
      <c r="AB5" s="38"/>
      <c r="AC5" s="38"/>
      <c r="AD5" s="38"/>
      <c r="AE5" s="38"/>
      <c r="AF5" s="38"/>
      <c r="AG5" s="38"/>
      <c r="AH5" s="38"/>
      <c r="AI5" s="38"/>
      <c r="AJ5" s="38"/>
      <c r="AK5" s="51"/>
      <c r="AL5" s="51"/>
      <c r="AM5" s="51"/>
      <c r="AN5" s="51"/>
      <c r="AO5" s="51"/>
      <c r="AP5" s="41"/>
    </row>
    <row r="6" spans="2:42" s="39" customFormat="1" ht="15" customHeight="1">
      <c r="B6" s="61"/>
      <c r="C6" s="191" t="s">
        <v>43</v>
      </c>
      <c r="D6" s="191"/>
      <c r="E6" s="174"/>
      <c r="F6" s="175"/>
      <c r="G6" s="175"/>
      <c r="H6" s="18"/>
      <c r="I6" s="138" t="s">
        <v>72</v>
      </c>
      <c r="J6" s="142" t="s">
        <v>0</v>
      </c>
      <c r="K6" s="153"/>
      <c r="L6" s="154" t="str">
        <f>IF(K6&gt;0,IF($S$1=1,K6/0.3048,K6*0.3048),"")</f>
        <v/>
      </c>
      <c r="N6" s="62"/>
      <c r="O6" s="159"/>
      <c r="P6" s="159"/>
      <c r="Q6" s="26"/>
      <c r="R6" s="29">
        <f>SLU_1</f>
        <v>0</v>
      </c>
      <c r="S6" s="29" t="e">
        <f>SLU_1a</f>
        <v>#VALUE!</v>
      </c>
      <c r="U6" s="182"/>
      <c r="V6" s="183"/>
      <c r="W6" s="183"/>
      <c r="X6" s="183"/>
      <c r="Y6" s="183"/>
      <c r="Z6" s="128"/>
      <c r="AA6" s="122"/>
      <c r="AB6" s="25"/>
      <c r="AC6" s="25"/>
      <c r="AD6" s="25"/>
      <c r="AE6" s="25"/>
      <c r="AF6" s="25"/>
      <c r="AG6" s="25"/>
      <c r="AH6" s="25"/>
      <c r="AI6" s="25"/>
      <c r="AJ6" s="25"/>
      <c r="AK6" s="52"/>
      <c r="AL6" s="52"/>
      <c r="AM6" s="52"/>
      <c r="AN6" s="52"/>
      <c r="AO6" s="52"/>
      <c r="AP6" s="53"/>
    </row>
    <row r="7" spans="2:42" ht="15" customHeight="1">
      <c r="B7" s="63"/>
      <c r="C7" s="191" t="s">
        <v>44</v>
      </c>
      <c r="D7" s="191"/>
      <c r="E7" s="174"/>
      <c r="F7" s="175"/>
      <c r="G7" s="175"/>
      <c r="H7" s="135"/>
      <c r="I7" s="138" t="s">
        <v>2</v>
      </c>
      <c r="J7" s="142" t="s">
        <v>3</v>
      </c>
      <c r="K7" s="153"/>
      <c r="L7" s="154" t="str">
        <f>IF(K7&gt;0,IF($S$1=1,K7/0.3048,K7*0.3048),"")</f>
        <v/>
      </c>
      <c r="M7" s="41"/>
      <c r="N7" s="64"/>
      <c r="O7" s="36"/>
      <c r="P7" s="36"/>
      <c r="R7" s="29">
        <f t="shared" ref="R7:S9" si="0">ROUND(K7,2)</f>
        <v>0</v>
      </c>
      <c r="S7" s="29" t="e">
        <f t="shared" si="0"/>
        <v>#VALUE!</v>
      </c>
      <c r="U7" s="166"/>
      <c r="V7" s="166"/>
      <c r="W7" s="166"/>
      <c r="X7" s="166"/>
      <c r="Y7" s="166"/>
      <c r="Z7" s="128"/>
      <c r="AA7" s="122"/>
      <c r="AB7" s="119"/>
      <c r="AC7" s="43"/>
      <c r="AD7" s="43"/>
      <c r="AE7" s="2"/>
      <c r="AF7" s="43"/>
      <c r="AG7" s="43"/>
      <c r="AH7" s="43"/>
      <c r="AI7" s="1"/>
      <c r="AJ7" s="43"/>
      <c r="AK7" s="54" t="e">
        <f>#REF!+1</f>
        <v>#REF!</v>
      </c>
    </row>
    <row r="8" spans="2:42" ht="15" customHeight="1">
      <c r="B8" s="63"/>
      <c r="C8" s="191" t="s">
        <v>45</v>
      </c>
      <c r="D8" s="191"/>
      <c r="E8" s="174"/>
      <c r="F8" s="175"/>
      <c r="G8" s="175"/>
      <c r="H8" s="135"/>
      <c r="I8" s="140" t="s">
        <v>77</v>
      </c>
      <c r="J8" s="142" t="s">
        <v>84</v>
      </c>
      <c r="K8" s="153"/>
      <c r="L8" s="154" t="str">
        <f>IF(K8&gt;0,IF($S$1=1,K8/0.3048,K8*0.3048),"")</f>
        <v/>
      </c>
      <c r="M8" s="41"/>
      <c r="N8" s="64"/>
      <c r="O8" s="36"/>
      <c r="P8" s="36"/>
      <c r="R8" s="29">
        <f t="shared" si="0"/>
        <v>0</v>
      </c>
      <c r="S8" s="29" t="e">
        <f t="shared" si="0"/>
        <v>#VALUE!</v>
      </c>
      <c r="U8" s="18"/>
      <c r="V8" s="18"/>
      <c r="W8" s="18"/>
      <c r="X8" s="18"/>
      <c r="Y8" s="18"/>
      <c r="Z8" s="128"/>
      <c r="AA8" s="122"/>
      <c r="AB8" s="26"/>
      <c r="AC8" s="43"/>
      <c r="AD8" s="43"/>
      <c r="AE8" s="2"/>
      <c r="AF8" s="43"/>
      <c r="AG8" s="43"/>
      <c r="AH8" s="43"/>
      <c r="AI8" s="1"/>
      <c r="AJ8" s="43"/>
      <c r="AK8" s="54" t="e">
        <f>AK7+1</f>
        <v>#REF!</v>
      </c>
    </row>
    <row r="9" spans="2:42" ht="15" customHeight="1">
      <c r="B9" s="65"/>
      <c r="C9" s="191" t="s">
        <v>46</v>
      </c>
      <c r="D9" s="191"/>
      <c r="E9" s="174"/>
      <c r="F9" s="175"/>
      <c r="G9" s="175"/>
      <c r="H9" s="141"/>
      <c r="I9" s="148" t="s">
        <v>88</v>
      </c>
      <c r="J9" s="150" t="s">
        <v>1</v>
      </c>
      <c r="K9" s="147"/>
      <c r="L9" s="139" t="str">
        <f>IF(K9&gt;0,IF($S$1=1,K9/0.3048,K9*0.3048),"")</f>
        <v/>
      </c>
      <c r="M9" s="41"/>
      <c r="N9" s="64"/>
      <c r="O9" s="36"/>
      <c r="P9" s="36"/>
      <c r="R9" s="29">
        <f t="shared" si="0"/>
        <v>0</v>
      </c>
      <c r="S9" s="29" t="e">
        <f t="shared" si="0"/>
        <v>#VALUE!</v>
      </c>
      <c r="U9" s="184"/>
      <c r="V9" s="166"/>
      <c r="W9" s="166"/>
      <c r="X9" s="166"/>
      <c r="Y9" s="166"/>
      <c r="Z9" s="128"/>
      <c r="AA9" s="122"/>
      <c r="AB9" s="26"/>
      <c r="AC9" s="2"/>
      <c r="AD9" s="42"/>
      <c r="AE9" s="2"/>
      <c r="AF9" s="2"/>
      <c r="AG9" s="2"/>
      <c r="AH9" s="1"/>
      <c r="AI9" s="1"/>
      <c r="AJ9" s="2"/>
      <c r="AK9" s="54" t="e">
        <f>AK8+1</f>
        <v>#REF!</v>
      </c>
    </row>
    <row r="10" spans="2:42" ht="15" customHeight="1">
      <c r="B10" s="66"/>
      <c r="C10" s="191" t="s">
        <v>47</v>
      </c>
      <c r="D10" s="191"/>
      <c r="E10" s="174"/>
      <c r="F10" s="175"/>
      <c r="G10" s="175"/>
      <c r="H10" s="141"/>
      <c r="I10" s="145" t="s">
        <v>87</v>
      </c>
      <c r="J10" s="146"/>
      <c r="K10" s="155" t="str">
        <f>IF(AND(SLU_1&gt;0,OR(SMW_1&gt;0,SMG_1&gt;0),SF_1&gt;0),SLU_1*(0.5*SF_1 + 2*IF(SMW_1&gt;SMG_1,SMW_1,SMG_1))/3,"")</f>
        <v/>
      </c>
      <c r="L10" s="155" t="str">
        <f>IF(AND(SLU_1&gt;0,OR(SMW_1&gt;0,SMG_1&gt;0),SF_1&gt;0),SLU_1a*(0.5*SF_1a + 2*IF(SMW_1&gt;SMG_1,SMW_1a,SMG_1a))/3,"")</f>
        <v/>
      </c>
      <c r="M10" s="41"/>
      <c r="N10" s="64"/>
      <c r="O10" s="36"/>
      <c r="P10" s="36"/>
      <c r="R10" s="48"/>
      <c r="S10" s="48"/>
      <c r="U10" s="166"/>
      <c r="V10" s="166"/>
      <c r="W10" s="166"/>
      <c r="X10" s="166"/>
      <c r="Y10" s="166"/>
      <c r="Z10" s="129"/>
      <c r="AA10" s="120"/>
      <c r="AB10" s="43"/>
      <c r="AC10" s="43"/>
      <c r="AD10" s="43"/>
      <c r="AE10" s="2"/>
      <c r="AF10" s="43"/>
      <c r="AG10" s="43"/>
      <c r="AH10" s="43"/>
      <c r="AI10" s="1"/>
      <c r="AJ10" s="43"/>
      <c r="AK10" s="54" t="e">
        <f>AK9+1</f>
        <v>#REF!</v>
      </c>
    </row>
    <row r="11" spans="2:42" ht="15" customHeight="1">
      <c r="B11" s="66"/>
      <c r="C11" s="189" t="s">
        <v>90</v>
      </c>
      <c r="D11" s="189"/>
      <c r="E11" s="187" t="s">
        <v>89</v>
      </c>
      <c r="F11" s="151"/>
      <c r="G11" s="178" t="s">
        <v>26</v>
      </c>
      <c r="H11" s="44"/>
      <c r="I11" s="149" t="s">
        <v>85</v>
      </c>
      <c r="J11" s="144"/>
      <c r="K11" s="139" t="str">
        <f>IF(AND(SLU_1&gt;0,SLE_1&gt;0,SMG_1&gt;0,SF_1&gt;0),((SLU_1 + SLE_1)/2) * ((SF_1 + (4 * SMG_1))/5) * 0.83,"")</f>
        <v/>
      </c>
      <c r="L11" s="139" t="str">
        <f>IF(AND(SLU_1&gt;0,SLE_1&gt;0,SMG_1&gt;0,SF_1&gt;0),((SLU_1a + SLE_1a)/2) * ((SF_1a + (4 * SMG_1a))/5) * 0.83,"")</f>
        <v/>
      </c>
      <c r="M11" s="41"/>
      <c r="N11" s="64"/>
      <c r="O11" s="36"/>
      <c r="P11" s="36"/>
      <c r="U11" s="132"/>
      <c r="V11" s="132"/>
      <c r="W11" s="132"/>
      <c r="X11" s="132"/>
      <c r="Y11" s="132"/>
      <c r="Z11" s="130"/>
      <c r="AA11" s="43"/>
      <c r="AB11" s="43"/>
      <c r="AC11" s="43"/>
      <c r="AD11" s="43"/>
      <c r="AE11" s="2"/>
      <c r="AF11" s="43"/>
      <c r="AG11" s="43"/>
      <c r="AH11" s="43"/>
      <c r="AI11" s="1"/>
      <c r="AJ11" s="43"/>
      <c r="AK11" s="54" t="e">
        <f>AK10+1</f>
        <v>#REF!</v>
      </c>
    </row>
    <row r="12" spans="2:42" ht="15" customHeight="1">
      <c r="B12" s="66"/>
      <c r="C12" s="189"/>
      <c r="D12" s="189"/>
      <c r="E12" s="188"/>
      <c r="F12" s="152"/>
      <c r="G12" s="179"/>
      <c r="H12" s="35"/>
      <c r="I12" s="149" t="s">
        <v>86</v>
      </c>
      <c r="J12" s="144"/>
      <c r="K12" s="139" t="str">
        <f>IF(AND(SLU_1&gt;0,SMG_1&gt;0,SF_1&gt;0),SLU_1 * (SF_1 + 4 * SMG_1)/6,"")</f>
        <v/>
      </c>
      <c r="L12" s="139" t="str">
        <f>IF(AND(SLU_1&gt;0,SMG_1&gt;0,SF_1&gt;0),SLU_1a * (SF_1a + 4 * SMG_1a)/6,"")</f>
        <v/>
      </c>
      <c r="M12" s="41"/>
      <c r="N12" s="64"/>
      <c r="O12" s="36"/>
      <c r="P12" s="36"/>
      <c r="R12" s="48"/>
      <c r="S12" s="48"/>
      <c r="U12" s="183"/>
      <c r="V12" s="183"/>
      <c r="W12" s="183"/>
      <c r="X12" s="183"/>
      <c r="Y12" s="183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</row>
    <row r="13" spans="2:42" ht="15" customHeight="1">
      <c r="B13" s="66"/>
      <c r="C13" s="190" t="s">
        <v>79</v>
      </c>
      <c r="D13" s="190"/>
      <c r="E13" s="180"/>
      <c r="F13" s="181"/>
      <c r="G13" s="181"/>
      <c r="H13" s="35"/>
      <c r="L13" s="156" t="s">
        <v>48</v>
      </c>
      <c r="M13" s="41"/>
      <c r="N13" s="64"/>
      <c r="O13" s="36"/>
      <c r="P13" s="36"/>
      <c r="R13" s="48"/>
      <c r="S13" s="48"/>
      <c r="U13" s="183"/>
      <c r="V13" s="183"/>
      <c r="W13" s="183"/>
      <c r="X13" s="183"/>
      <c r="Y13" s="183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</row>
    <row r="14" spans="2:42" ht="15" customHeight="1">
      <c r="B14" s="66"/>
      <c r="C14" s="190" t="s">
        <v>80</v>
      </c>
      <c r="D14" s="190"/>
      <c r="E14" s="180"/>
      <c r="F14" s="181"/>
      <c r="G14" s="181"/>
      <c r="H14" s="40"/>
      <c r="I14" s="35"/>
      <c r="J14" s="40"/>
      <c r="K14" s="40"/>
      <c r="M14" s="41"/>
      <c r="N14" s="64"/>
      <c r="O14" s="36"/>
      <c r="P14" s="36"/>
      <c r="R14" s="48"/>
      <c r="S14" s="48"/>
      <c r="U14" s="127"/>
      <c r="V14" s="127"/>
      <c r="W14" s="127"/>
      <c r="X14" s="127"/>
      <c r="Y14" s="127"/>
      <c r="Z14" s="46"/>
      <c r="AA14" s="46"/>
      <c r="AB14" s="46"/>
      <c r="AC14" s="46"/>
      <c r="AD14" s="47"/>
      <c r="AE14" s="46"/>
      <c r="AF14" s="47"/>
      <c r="AG14" s="46"/>
      <c r="AH14" s="47"/>
      <c r="AI14" s="46"/>
      <c r="AJ14" s="46"/>
    </row>
    <row r="15" spans="2:42" ht="15" customHeight="1">
      <c r="B15" s="66"/>
      <c r="C15" s="190" t="s">
        <v>81</v>
      </c>
      <c r="D15" s="190"/>
      <c r="E15" s="180"/>
      <c r="F15" s="181"/>
      <c r="G15" s="181"/>
      <c r="H15" s="40"/>
      <c r="I15" s="40"/>
      <c r="J15" s="40"/>
      <c r="K15" s="143"/>
      <c r="M15" s="41"/>
      <c r="N15" s="64"/>
      <c r="O15" s="36"/>
      <c r="P15" s="36"/>
      <c r="R15" s="48"/>
      <c r="S15" s="48"/>
      <c r="U15" s="185"/>
      <c r="V15" s="186"/>
      <c r="W15" s="186"/>
      <c r="X15" s="186"/>
      <c r="Y15" s="186"/>
    </row>
    <row r="16" spans="2:42" ht="15" customHeight="1">
      <c r="B16" s="65"/>
      <c r="C16" s="190" t="s">
        <v>82</v>
      </c>
      <c r="D16" s="190"/>
      <c r="E16" s="176"/>
      <c r="F16" s="177"/>
      <c r="G16" s="177"/>
      <c r="H16" s="35"/>
      <c r="I16" s="35"/>
      <c r="J16" s="35"/>
      <c r="K16" s="35"/>
      <c r="L16" s="35"/>
      <c r="M16" s="36"/>
      <c r="N16" s="59"/>
      <c r="O16" s="36"/>
      <c r="P16" s="36"/>
      <c r="R16" s="48"/>
      <c r="S16" s="48"/>
      <c r="U16" s="127"/>
      <c r="V16" s="127"/>
      <c r="W16" s="127"/>
      <c r="X16" s="127"/>
      <c r="Y16" s="127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</row>
    <row r="17" spans="2:25" ht="15" customHeight="1">
      <c r="B17" s="67"/>
      <c r="C17" s="190" t="s">
        <v>93</v>
      </c>
      <c r="D17" s="190"/>
      <c r="E17" s="68"/>
      <c r="F17" s="68"/>
      <c r="G17" s="68"/>
      <c r="H17" s="68"/>
      <c r="I17" s="68"/>
      <c r="J17" s="68"/>
      <c r="K17" s="68"/>
      <c r="L17" s="68"/>
      <c r="M17" s="68"/>
      <c r="N17" s="69"/>
      <c r="U17" s="125"/>
      <c r="V17" s="133"/>
      <c r="W17" s="126"/>
      <c r="X17" s="133"/>
      <c r="Y17" s="133"/>
    </row>
    <row r="18" spans="2:25" ht="15" customHeight="1"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O18" s="49"/>
      <c r="P18" s="49"/>
      <c r="U18" s="134"/>
      <c r="V18" s="134"/>
      <c r="W18" s="134"/>
      <c r="X18" s="134"/>
      <c r="Y18" s="134"/>
    </row>
    <row r="19" spans="2:25" ht="15" customHeight="1">
      <c r="B19" s="6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64"/>
      <c r="U19" s="124"/>
      <c r="V19" s="134"/>
      <c r="W19" s="134"/>
      <c r="X19" s="134"/>
      <c r="Y19" s="134"/>
    </row>
    <row r="20" spans="2:25" ht="15" customHeight="1"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  <c r="U20" s="127"/>
      <c r="V20" s="127"/>
      <c r="W20" s="127"/>
      <c r="X20" s="127"/>
      <c r="Y20" s="127"/>
    </row>
    <row r="21" spans="2:25" ht="15" customHeight="1">
      <c r="B21" s="63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64"/>
      <c r="U21" s="165"/>
      <c r="V21" s="166"/>
      <c r="W21" s="166"/>
      <c r="X21" s="166"/>
      <c r="Y21" s="166"/>
    </row>
    <row r="22" spans="2:25" ht="15" customHeight="1"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  <c r="U22" s="166"/>
      <c r="V22" s="166"/>
      <c r="W22" s="166"/>
      <c r="X22" s="166"/>
      <c r="Y22" s="166"/>
    </row>
    <row r="23" spans="2:25" ht="15" customHeight="1">
      <c r="B23" s="6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64"/>
      <c r="U23" s="134"/>
      <c r="V23" s="134"/>
      <c r="W23" s="134"/>
      <c r="X23" s="134"/>
      <c r="Y23" s="134"/>
    </row>
    <row r="24" spans="2:25" ht="15" customHeight="1"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  <c r="U24" s="167"/>
      <c r="V24" s="166"/>
      <c r="W24" s="166"/>
      <c r="X24" s="166"/>
      <c r="Y24" s="168"/>
    </row>
    <row r="25" spans="2:25" ht="15" customHeight="1">
      <c r="B25" s="63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64"/>
      <c r="U25" s="169"/>
      <c r="V25" s="170"/>
      <c r="W25" s="170"/>
      <c r="X25" s="170"/>
      <c r="Y25" s="168"/>
    </row>
    <row r="26" spans="2:25" ht="15" customHeight="1"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  <c r="U26" s="171"/>
      <c r="V26" s="172"/>
      <c r="W26" s="172"/>
      <c r="X26" s="172"/>
      <c r="Y26" s="173"/>
    </row>
    <row r="27" spans="2:25" ht="15" customHeight="1">
      <c r="B27" s="63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64"/>
    </row>
    <row r="28" spans="2:25" ht="15" customHeight="1">
      <c r="B28" s="6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64"/>
    </row>
    <row r="29" spans="2:25" ht="15" customHeight="1">
      <c r="B29" s="6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64"/>
    </row>
    <row r="30" spans="2:25" ht="15" customHeight="1">
      <c r="B30" s="63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64"/>
    </row>
    <row r="31" spans="2:25" ht="12" customHeight="1">
      <c r="B31" s="63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64"/>
    </row>
    <row r="32" spans="2:25" ht="12" customHeight="1">
      <c r="B32" s="63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64"/>
    </row>
    <row r="33" spans="2:14" ht="12" customHeight="1">
      <c r="B33" s="63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64"/>
    </row>
    <row r="34" spans="2:14" ht="12" customHeight="1">
      <c r="B34" s="6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64"/>
    </row>
    <row r="35" spans="2:14" ht="12" customHeight="1">
      <c r="B35" s="6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64"/>
    </row>
    <row r="36" spans="2:14" ht="12" customHeight="1">
      <c r="B36" s="6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64"/>
    </row>
    <row r="37" spans="2:14" ht="12" customHeight="1">
      <c r="B37" s="63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64"/>
    </row>
    <row r="38" spans="2:14" ht="12" customHeight="1">
      <c r="B38" s="63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64"/>
    </row>
    <row r="39" spans="2:14" ht="12" customHeight="1">
      <c r="B39" s="63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64"/>
    </row>
    <row r="40" spans="2:14" ht="12" customHeight="1">
      <c r="B40" s="63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64"/>
    </row>
    <row r="41" spans="2:14" ht="12" customHeight="1">
      <c r="B41" s="6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64"/>
    </row>
    <row r="42" spans="2:14" ht="12" customHeight="1">
      <c r="B42" s="63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64"/>
    </row>
    <row r="43" spans="2:14" ht="12" customHeight="1">
      <c r="B43" s="63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64"/>
    </row>
    <row r="44" spans="2:14" ht="12" customHeight="1">
      <c r="B44" s="63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64"/>
    </row>
    <row r="45" spans="2:14" ht="12" customHeight="1">
      <c r="B45" s="63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64"/>
    </row>
    <row r="46" spans="2:14" ht="12" customHeight="1">
      <c r="B46" s="63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64"/>
    </row>
    <row r="47" spans="2:14" ht="12" customHeight="1">
      <c r="B47" s="63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64"/>
    </row>
    <row r="48" spans="2:14" ht="12" customHeight="1">
      <c r="B48" s="63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64"/>
    </row>
    <row r="49" spans="2:14" ht="12" customHeight="1">
      <c r="B49" s="63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64"/>
    </row>
    <row r="50" spans="2:14" ht="12" customHeight="1">
      <c r="B50" s="63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64"/>
    </row>
    <row r="51" spans="2:14" ht="12" customHeight="1">
      <c r="B51" s="63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64"/>
    </row>
    <row r="52" spans="2:14" ht="12" customHeight="1">
      <c r="B52" s="63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64"/>
    </row>
    <row r="53" spans="2:14" ht="12" customHeight="1">
      <c r="B53" s="6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64"/>
    </row>
    <row r="54" spans="2:14" ht="12" customHeight="1">
      <c r="B54" s="63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64"/>
    </row>
    <row r="55" spans="2:14" ht="12" customHeight="1">
      <c r="B55" s="63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64"/>
    </row>
    <row r="56" spans="2:14" ht="12" customHeight="1">
      <c r="B56" s="63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64"/>
    </row>
    <row r="57" spans="2:14" ht="12" customHeight="1">
      <c r="B57" s="63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64"/>
    </row>
    <row r="58" spans="2:14" ht="12" customHeight="1">
      <c r="B58" s="63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64"/>
    </row>
    <row r="59" spans="2:14" ht="12" customHeight="1">
      <c r="B59" s="6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64"/>
    </row>
    <row r="60" spans="2:14" ht="12" customHeight="1">
      <c r="B60" s="63"/>
      <c r="C60" s="41"/>
      <c r="D60" s="41"/>
      <c r="E60" s="19" t="s">
        <v>49</v>
      </c>
      <c r="F60" s="41"/>
      <c r="G60" s="41"/>
      <c r="H60" s="41"/>
      <c r="I60" s="41"/>
      <c r="J60" s="41"/>
      <c r="K60" s="41"/>
      <c r="L60" s="41"/>
      <c r="M60" s="41"/>
      <c r="N60" s="64"/>
    </row>
    <row r="61" spans="2:14" ht="12" customHeight="1"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2"/>
    </row>
    <row r="62" spans="2:14" ht="12" customHeight="1"/>
    <row r="63" spans="2:14" ht="12" customHeight="1"/>
    <row r="64" spans="2:1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</sheetData>
  <sheetProtection algorithmName="SHA-512" hashValue="rytO6UFnwjAf3mgXD5/Y8SYBhDTa1V02a1NLZ0qBvp6bO8Pdr3wXjAFBqqcFG8wXHGVVe7Mnc3OK2h0BbMSbCg==" saltValue="lvwG6+O4DKnt8ZgKvTj2WA==" spinCount="100000" sheet="1" objects="1" scenarios="1" selectLockedCells="1"/>
  <mergeCells count="36">
    <mergeCell ref="C17:D17"/>
    <mergeCell ref="E14:G14"/>
    <mergeCell ref="C13:D13"/>
    <mergeCell ref="C14:D14"/>
    <mergeCell ref="C15:D15"/>
    <mergeCell ref="C11:D12"/>
    <mergeCell ref="C16:D16"/>
    <mergeCell ref="C5:D5"/>
    <mergeCell ref="C6:D6"/>
    <mergeCell ref="C7:D7"/>
    <mergeCell ref="C8:D8"/>
    <mergeCell ref="C9:D9"/>
    <mergeCell ref="C10:D10"/>
    <mergeCell ref="U21:Y22"/>
    <mergeCell ref="U24:Y26"/>
    <mergeCell ref="E7:G7"/>
    <mergeCell ref="E8:G8"/>
    <mergeCell ref="E16:G16"/>
    <mergeCell ref="G11:G12"/>
    <mergeCell ref="E13:G13"/>
    <mergeCell ref="E15:G15"/>
    <mergeCell ref="U6:Y7"/>
    <mergeCell ref="E9:G9"/>
    <mergeCell ref="E10:G10"/>
    <mergeCell ref="U12:Y13"/>
    <mergeCell ref="U9:Y10"/>
    <mergeCell ref="U15:Y15"/>
    <mergeCell ref="E11:E12"/>
    <mergeCell ref="E6:G6"/>
    <mergeCell ref="C1:M1"/>
    <mergeCell ref="C2:M2"/>
    <mergeCell ref="O6:P6"/>
    <mergeCell ref="O5:P5"/>
    <mergeCell ref="O4:P4"/>
    <mergeCell ref="C3:M3"/>
    <mergeCell ref="E5:G5"/>
  </mergeCells>
  <dataValidations disablePrompts="1" count="1">
    <dataValidation type="decimal" allowBlank="1" showInputMessage="1" showErrorMessage="1" error="Enter numbers only." sqref="M16">
      <formula1>0</formula1>
      <formula2>10000</formula2>
    </dataValidation>
  </dataValidations>
  <printOptions horizontalCentered="1"/>
  <pageMargins left="0.5" right="0.5" top="0.5" bottom="0.5" header="0.5" footer="0.5"/>
  <pageSetup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locked="0" defaultSize="0" autoFill="0" autoLine="0" autoPict="0">
                <anchor moveWithCells="1" sizeWithCells="1">
                  <from>
                    <xdr:col>4</xdr:col>
                    <xdr:colOff>533400</xdr:colOff>
                    <xdr:row>10</xdr:row>
                    <xdr:rowOff>95250</xdr:rowOff>
                  </from>
                  <to>
                    <xdr:col>5</xdr:col>
                    <xdr:colOff>247650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locked="0" defaultSize="0" autoFill="0" autoLine="0" autoPict="0">
                <anchor moveWithCells="1" sizeWithCells="1">
                  <from>
                    <xdr:col>6</xdr:col>
                    <xdr:colOff>285750</xdr:colOff>
                    <xdr:row>10</xdr:row>
                    <xdr:rowOff>95250</xdr:rowOff>
                  </from>
                  <to>
                    <xdr:col>6</xdr:col>
                    <xdr:colOff>485775</xdr:colOff>
                    <xdr:row>11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78"/>
  <sheetViews>
    <sheetView zoomScaleNormal="100" workbookViewId="0">
      <selection activeCell="D5" sqref="D5"/>
    </sheetView>
  </sheetViews>
  <sheetFormatPr defaultRowHeight="12.75"/>
  <cols>
    <col min="1" max="2" width="2.140625" style="80" customWidth="1"/>
    <col min="3" max="3" width="14.28515625" style="80" customWidth="1"/>
    <col min="4" max="7" width="9.28515625" style="80" customWidth="1"/>
    <col min="8" max="8" width="18.85546875" style="80" customWidth="1"/>
    <col min="9" max="9" width="14.7109375" style="80" customWidth="1"/>
    <col min="10" max="15" width="9.28515625" style="80" customWidth="1"/>
    <col min="16" max="24" width="11.42578125" style="80" customWidth="1"/>
    <col min="25" max="16384" width="9.140625" style="80"/>
  </cols>
  <sheetData>
    <row r="1" spans="1:15" ht="12.75" customHeight="1">
      <c r="B1" s="81"/>
      <c r="C1" s="81"/>
      <c r="D1" s="81"/>
      <c r="E1" s="81"/>
      <c r="F1" s="81"/>
      <c r="H1" s="81"/>
      <c r="I1" s="81"/>
      <c r="J1" s="81"/>
      <c r="K1" s="81"/>
      <c r="L1" s="81"/>
      <c r="M1" s="81"/>
      <c r="N1" s="81"/>
      <c r="O1" s="81"/>
    </row>
    <row r="2" spans="1:15" ht="12.75" customHeight="1">
      <c r="A2" s="82"/>
      <c r="B2" s="83"/>
      <c r="C2" s="84" t="s">
        <v>41</v>
      </c>
      <c r="D2" s="85"/>
      <c r="E2" s="86"/>
      <c r="G2" s="87"/>
      <c r="H2" s="88" t="s">
        <v>39</v>
      </c>
      <c r="I2" s="85"/>
      <c r="J2" s="85"/>
      <c r="K2" s="85"/>
      <c r="L2" s="85"/>
      <c r="M2" s="85"/>
      <c r="N2" s="85"/>
      <c r="O2" s="86"/>
    </row>
    <row r="3" spans="1:15" ht="12.75" customHeight="1">
      <c r="A3" s="82"/>
      <c r="B3" s="89"/>
      <c r="E3" s="90"/>
      <c r="G3" s="87"/>
      <c r="H3" s="9"/>
      <c r="I3" s="3"/>
      <c r="J3" s="21" t="s">
        <v>8</v>
      </c>
      <c r="K3" s="21" t="s">
        <v>9</v>
      </c>
      <c r="L3" s="21"/>
      <c r="N3" s="21" t="s">
        <v>28</v>
      </c>
      <c r="O3" s="91"/>
    </row>
    <row r="4" spans="1:15" ht="12.75" customHeight="1">
      <c r="A4" s="82"/>
      <c r="B4" s="89"/>
      <c r="C4" s="192" t="s">
        <v>38</v>
      </c>
      <c r="D4" s="193"/>
      <c r="E4" s="90"/>
      <c r="G4" s="87"/>
      <c r="H4" s="10" t="s">
        <v>35</v>
      </c>
      <c r="I4" s="21" t="s">
        <v>10</v>
      </c>
      <c r="J4" s="8">
        <f>SF_s</f>
        <v>0</v>
      </c>
      <c r="K4" s="22">
        <f>IF(AND(SLU_1&gt;0,SF_1&gt;0),IF(OR(SMG_1&gt;0,SMW_1&gt;0),0,0),0)</f>
        <v>0</v>
      </c>
      <c r="L4" s="21"/>
      <c r="N4" s="21" t="s">
        <v>8</v>
      </c>
      <c r="O4" s="5" t="s">
        <v>9</v>
      </c>
    </row>
    <row r="5" spans="1:15" ht="12.75" customHeight="1">
      <c r="A5" s="82"/>
      <c r="B5" s="89"/>
      <c r="C5" s="17" t="s">
        <v>23</v>
      </c>
      <c r="D5" s="118">
        <f>IF(AND(SLU_1&gt;0,SF_1&gt;0),IF(OR(SMG_1&gt;0,SMW_1&gt;0),SLU_1,0),0)</f>
        <v>0</v>
      </c>
      <c r="E5" s="92"/>
      <c r="G5" s="87"/>
      <c r="H5" s="10" t="s">
        <v>36</v>
      </c>
      <c r="I5" s="21" t="s">
        <v>34</v>
      </c>
      <c r="J5" s="8">
        <f>0.5*SF_s+0.5*SHW_s</f>
        <v>0</v>
      </c>
      <c r="K5" s="22" t="e">
        <f>SHW_s_y</f>
        <v>#DIV/0!</v>
      </c>
      <c r="L5" s="21"/>
      <c r="M5" s="21" t="s">
        <v>14</v>
      </c>
      <c r="N5" s="22">
        <f>MAX(J4:J23)</f>
        <v>0</v>
      </c>
      <c r="O5" s="6" t="e">
        <f>MAX(K4:K23)</f>
        <v>#DIV/0!</v>
      </c>
    </row>
    <row r="6" spans="1:15" ht="12.75" customHeight="1">
      <c r="A6" s="82"/>
      <c r="B6" s="89"/>
      <c r="C6" s="17" t="s">
        <v>0</v>
      </c>
      <c r="D6" s="118">
        <f>IF(AND(SLU_1&gt;0,SF_1&gt;0),IF(OR(SMG_1&gt;0,SMW_1&gt;0),SLE_1,0),0)</f>
        <v>0</v>
      </c>
      <c r="E6" s="92"/>
      <c r="G6" s="87"/>
      <c r="H6" s="9"/>
      <c r="I6" s="3"/>
      <c r="J6" s="45">
        <f>0.3*(Head_x-SLU_Half_Luff_x)+SLU_Half_Luff_x</f>
        <v>0</v>
      </c>
      <c r="K6" s="22" t="e">
        <f>0.6*(Head_y-SLU_Half_Luff_y)+SLU_Half_Luff_y</f>
        <v>#DIV/0!</v>
      </c>
      <c r="L6" s="21"/>
      <c r="M6" s="21" t="s">
        <v>15</v>
      </c>
      <c r="N6" s="22">
        <f>MIN(J4:J23)</f>
        <v>0</v>
      </c>
      <c r="O6" s="6" t="e">
        <f>MIN(K4:K23)</f>
        <v>#DIV/0!</v>
      </c>
    </row>
    <row r="7" spans="1:15" ht="12.75" customHeight="1">
      <c r="A7" s="82"/>
      <c r="B7" s="89"/>
      <c r="C7" s="17" t="s">
        <v>1</v>
      </c>
      <c r="D7" s="118">
        <f>IF(AND(SLU_1&gt;0,SF_1&gt;0),IF(OR(SMG_1&gt;0,SMW_1&gt;0),SMW_1,0),0)</f>
        <v>0</v>
      </c>
      <c r="E7" s="92"/>
      <c r="G7" s="87"/>
      <c r="H7" s="77" t="s">
        <v>11</v>
      </c>
      <c r="I7" s="79" t="s">
        <v>11</v>
      </c>
      <c r="J7" s="22">
        <f>0.5*SF_s</f>
        <v>0</v>
      </c>
      <c r="K7" s="22">
        <f>SCL_s</f>
        <v>0</v>
      </c>
      <c r="L7" s="21"/>
      <c r="M7" s="21" t="s">
        <v>29</v>
      </c>
      <c r="N7" s="22">
        <f>SS_data_maxx-SS_data_minx</f>
        <v>0</v>
      </c>
      <c r="O7" s="6" t="e">
        <f>SS_data_maxy-SS_data_miny</f>
        <v>#DIV/0!</v>
      </c>
    </row>
    <row r="8" spans="1:15" ht="12.75" customHeight="1">
      <c r="A8" s="82"/>
      <c r="B8" s="89"/>
      <c r="C8" s="17" t="s">
        <v>24</v>
      </c>
      <c r="D8" s="118">
        <f>IF(AND(SLU_1&gt;0,SF_1&gt;0),IF(OR(SMG_1&gt;0,SMW_1&gt;0),SMG_1,0),0)</f>
        <v>0</v>
      </c>
      <c r="E8" s="92"/>
      <c r="G8" s="87"/>
      <c r="H8" s="78"/>
      <c r="I8" s="79" t="s">
        <v>11</v>
      </c>
      <c r="J8" s="22">
        <f>0.5*SF_s</f>
        <v>0</v>
      </c>
      <c r="K8" s="8">
        <f>SCL_s</f>
        <v>0</v>
      </c>
      <c r="L8" s="21"/>
      <c r="O8" s="90"/>
    </row>
    <row r="9" spans="1:15" ht="12.75" customHeight="1">
      <c r="A9" s="82"/>
      <c r="B9" s="89"/>
      <c r="C9" s="17" t="s">
        <v>5</v>
      </c>
      <c r="D9" s="118">
        <f>IF(AND(SLU_1&gt;0,SF_1&gt;0),IF(OR(SMG_1&gt;0,SMW_1&gt;0),SF_1,0),0)</f>
        <v>0</v>
      </c>
      <c r="E9" s="92"/>
      <c r="G9" s="87"/>
      <c r="H9" s="9"/>
      <c r="I9" s="3"/>
      <c r="J9" s="45">
        <f>0.3*(Head_x-SLE_Half_Luff_x)+SLE_Half_Luff_x</f>
        <v>0</v>
      </c>
      <c r="K9" s="22" t="e">
        <f>0.6*(Head_y-SLE_Half_Luff_y)+SLE_Half_Luff_y</f>
        <v>#DIV/0!</v>
      </c>
      <c r="L9" s="4"/>
      <c r="N9" s="21" t="s">
        <v>13</v>
      </c>
      <c r="O9" s="91"/>
    </row>
    <row r="10" spans="1:15" ht="12.75" customHeight="1">
      <c r="A10" s="82"/>
      <c r="B10" s="93"/>
      <c r="C10" s="94"/>
      <c r="D10" s="95"/>
      <c r="E10" s="96"/>
      <c r="G10" s="87"/>
      <c r="H10" s="9"/>
      <c r="I10" s="21" t="s">
        <v>34</v>
      </c>
      <c r="J10" s="8">
        <f>0.5*SF_s-0.5*SHW_s</f>
        <v>0</v>
      </c>
      <c r="K10" s="22" t="e">
        <f>SHW_s_y</f>
        <v>#DIV/0!</v>
      </c>
      <c r="L10" s="4"/>
      <c r="N10" s="22" t="s">
        <v>8</v>
      </c>
      <c r="O10" s="6" t="s">
        <v>9</v>
      </c>
    </row>
    <row r="11" spans="1:15" ht="12.75" customHeight="1">
      <c r="A11" s="82"/>
      <c r="B11" s="81"/>
      <c r="C11" s="81"/>
      <c r="D11" s="81"/>
      <c r="E11" s="81"/>
      <c r="F11" s="81"/>
      <c r="G11" s="87"/>
      <c r="H11" s="9"/>
      <c r="I11" s="21" t="s">
        <v>10</v>
      </c>
      <c r="J11" s="22">
        <f>IF(AND(SLU_1&gt;0,SF_1&gt;0),IF(OR(SMG_1&gt;0,SMW_1&gt;0),0,0),0)</f>
        <v>0</v>
      </c>
      <c r="K11" s="22">
        <f>IF(AND(SLU_1&gt;0,SF_1&gt;0),IF(OR(SMG_1&gt;0,SMW_1&gt;0),0,0),0)</f>
        <v>0</v>
      </c>
      <c r="L11" s="21"/>
      <c r="M11" s="21" t="s">
        <v>14</v>
      </c>
      <c r="N11" s="22" t="e">
        <f>SS_ydata_range+SS_axes_minx</f>
        <v>#DIV/0!</v>
      </c>
      <c r="O11" s="6" t="e">
        <f>MAX(K4:K23)</f>
        <v>#DIV/0!</v>
      </c>
    </row>
    <row r="12" spans="1:15" ht="12.75" customHeight="1">
      <c r="A12" s="82"/>
      <c r="B12" s="97"/>
      <c r="C12" s="98"/>
      <c r="D12" s="97"/>
      <c r="E12" s="97"/>
      <c r="F12" s="97"/>
      <c r="G12" s="87"/>
      <c r="H12" s="10" t="s">
        <v>4</v>
      </c>
      <c r="I12" s="21" t="s">
        <v>10</v>
      </c>
      <c r="J12" s="22">
        <f>IF(AND(SLU_1&gt;0,SF_1&gt;0),IF(OR(SMG_1&gt;0,SMW_1&gt;0),0,0),0)</f>
        <v>0</v>
      </c>
      <c r="K12" s="22">
        <f>IF(AND(SLU_1&gt;0,SF_1&gt;0),IF(OR(SMG_1&gt;0,SMW_1&gt;0),0,0),0)</f>
        <v>0</v>
      </c>
      <c r="L12" s="3"/>
      <c r="M12" s="21" t="s">
        <v>15</v>
      </c>
      <c r="N12" s="22" t="e">
        <f>-(SS_ydata_range-SS_xdata_range)/2</f>
        <v>#DIV/0!</v>
      </c>
      <c r="O12" s="6" t="e">
        <f>MIN(K4:K23)</f>
        <v>#DIV/0!</v>
      </c>
    </row>
    <row r="13" spans="1:15" ht="12.75" customHeight="1">
      <c r="A13" s="82"/>
      <c r="B13" s="97"/>
      <c r="C13" s="97"/>
      <c r="D13" s="97"/>
      <c r="E13" s="97"/>
      <c r="F13" s="97"/>
      <c r="G13" s="87"/>
      <c r="H13" s="10"/>
      <c r="I13" s="21" t="s">
        <v>25</v>
      </c>
      <c r="J13" s="22">
        <f>0.5*SF_s</f>
        <v>0</v>
      </c>
      <c r="K13" s="22">
        <f>-0.015*SCL_s</f>
        <v>0</v>
      </c>
      <c r="L13" s="3"/>
      <c r="M13" s="3"/>
      <c r="N13" s="22" t="e">
        <f>N12-N11</f>
        <v>#DIV/0!</v>
      </c>
      <c r="O13" s="6" t="e">
        <f>O11-O12</f>
        <v>#DIV/0!</v>
      </c>
    </row>
    <row r="14" spans="1:15" ht="12.75" customHeight="1">
      <c r="A14" s="82"/>
      <c r="B14" s="97"/>
      <c r="C14" s="99"/>
      <c r="D14" s="100"/>
      <c r="E14" s="97"/>
      <c r="F14" s="97"/>
      <c r="G14" s="87"/>
      <c r="H14" s="10"/>
      <c r="I14" s="21" t="s">
        <v>10</v>
      </c>
      <c r="J14" s="22">
        <f>SF_s</f>
        <v>0</v>
      </c>
      <c r="K14" s="22">
        <f>IF(AND(SLU_1&gt;0,SF_1&gt;0),IF(OR(SMG_1&gt;0,SMW_1&gt;0),0,0),0)</f>
        <v>0</v>
      </c>
      <c r="L14" s="21"/>
      <c r="M14" s="3"/>
      <c r="N14" s="3"/>
      <c r="O14" s="11"/>
    </row>
    <row r="15" spans="1:15" ht="12.75" customHeight="1">
      <c r="A15" s="82"/>
      <c r="B15" s="97"/>
      <c r="C15" s="3"/>
      <c r="D15" s="3"/>
      <c r="E15" s="21"/>
      <c r="F15" s="21"/>
      <c r="G15" s="87"/>
      <c r="H15" s="9"/>
      <c r="L15" s="4"/>
      <c r="N15" s="21" t="s">
        <v>30</v>
      </c>
      <c r="O15" s="91"/>
    </row>
    <row r="16" spans="1:15" ht="12.75" customHeight="1">
      <c r="A16" s="82"/>
      <c r="B16" s="97"/>
      <c r="C16" s="21"/>
      <c r="D16" s="21"/>
      <c r="E16" s="8"/>
      <c r="F16" s="22"/>
      <c r="G16" s="87"/>
      <c r="H16" s="10" t="s">
        <v>72</v>
      </c>
      <c r="I16" s="21" t="s">
        <v>22</v>
      </c>
      <c r="J16" s="22">
        <f>J69</f>
        <v>0</v>
      </c>
      <c r="K16" s="22">
        <f>K69</f>
        <v>0</v>
      </c>
      <c r="L16" s="4"/>
      <c r="N16" s="21" t="s">
        <v>8</v>
      </c>
      <c r="O16" s="5" t="s">
        <v>9</v>
      </c>
    </row>
    <row r="17" spans="1:17" ht="12.75" customHeight="1">
      <c r="A17" s="82"/>
      <c r="B17" s="97"/>
      <c r="C17" s="21"/>
      <c r="D17" s="21"/>
      <c r="E17" s="8"/>
      <c r="F17" s="22"/>
      <c r="G17" s="87"/>
      <c r="H17" s="10"/>
      <c r="I17" s="21" t="s">
        <v>74</v>
      </c>
      <c r="J17" s="22">
        <f>J70</f>
        <v>0</v>
      </c>
      <c r="K17" s="22">
        <f>K70</f>
        <v>0</v>
      </c>
      <c r="L17" s="4"/>
      <c r="M17" s="21" t="s">
        <v>31</v>
      </c>
      <c r="N17" s="22" t="e">
        <f>N11</f>
        <v>#DIV/0!</v>
      </c>
      <c r="O17" s="6" t="e">
        <f>SS_axes_miny</f>
        <v>#DIV/0!</v>
      </c>
    </row>
    <row r="18" spans="1:17" ht="12.75" customHeight="1">
      <c r="A18" s="82"/>
      <c r="B18" s="97"/>
      <c r="C18" s="45"/>
      <c r="D18" s="45"/>
      <c r="E18" s="45"/>
      <c r="F18" s="22"/>
      <c r="G18" s="87"/>
      <c r="H18" s="10" t="s">
        <v>73</v>
      </c>
      <c r="I18" s="21" t="s">
        <v>22</v>
      </c>
      <c r="J18" s="22">
        <f>J62</f>
        <v>0</v>
      </c>
      <c r="K18" s="22">
        <f>K62</f>
        <v>0</v>
      </c>
      <c r="L18" s="4"/>
      <c r="M18" s="3"/>
      <c r="N18" s="22" t="e">
        <f>SS_axes_minx</f>
        <v>#DIV/0!</v>
      </c>
      <c r="O18" s="6" t="e">
        <f>SS_axes_miny</f>
        <v>#DIV/0!</v>
      </c>
    </row>
    <row r="19" spans="1:17" ht="12.75" customHeight="1">
      <c r="A19" s="82"/>
      <c r="B19" s="97"/>
      <c r="C19" s="21"/>
      <c r="D19" s="21"/>
      <c r="E19" s="22"/>
      <c r="F19" s="22"/>
      <c r="G19" s="87"/>
      <c r="H19" s="10"/>
      <c r="I19" s="21" t="s">
        <v>74</v>
      </c>
      <c r="J19" s="22">
        <f>J63</f>
        <v>0</v>
      </c>
      <c r="K19" s="22">
        <f>K63</f>
        <v>0</v>
      </c>
      <c r="L19" s="4"/>
      <c r="M19" s="21" t="s">
        <v>32</v>
      </c>
      <c r="N19" s="22" t="e">
        <f>SS_axes_minx</f>
        <v>#DIV/0!</v>
      </c>
      <c r="O19" s="6" t="e">
        <f>SS_axes_miny</f>
        <v>#DIV/0!</v>
      </c>
    </row>
    <row r="20" spans="1:17" ht="12.75" customHeight="1">
      <c r="A20" s="82"/>
      <c r="D20" s="21"/>
      <c r="E20" s="22"/>
      <c r="F20" s="22"/>
      <c r="G20" s="87"/>
      <c r="H20" s="10" t="s">
        <v>77</v>
      </c>
      <c r="I20" s="21" t="s">
        <v>10</v>
      </c>
      <c r="J20" s="22">
        <f>Clew_Left_x</f>
        <v>0</v>
      </c>
      <c r="K20" s="22">
        <f>K76</f>
        <v>0</v>
      </c>
      <c r="L20" s="4"/>
      <c r="M20" s="3"/>
      <c r="N20" s="22" t="e">
        <f>SS_axes_minx</f>
        <v>#DIV/0!</v>
      </c>
      <c r="O20" s="6" t="e">
        <f>SS_axes_maxy</f>
        <v>#DIV/0!</v>
      </c>
    </row>
    <row r="21" spans="1:17" ht="12.75" customHeight="1">
      <c r="A21" s="82"/>
      <c r="E21" s="45"/>
      <c r="F21" s="22"/>
      <c r="G21" s="87"/>
      <c r="H21" s="10"/>
      <c r="I21" s="21" t="s">
        <v>10</v>
      </c>
      <c r="J21" s="22">
        <f>Clew_Right_x</f>
        <v>0</v>
      </c>
      <c r="K21" s="22">
        <f>K77</f>
        <v>0</v>
      </c>
      <c r="L21" s="4"/>
      <c r="M21" s="3"/>
      <c r="N21" s="3"/>
      <c r="O21" s="11"/>
    </row>
    <row r="22" spans="1:17" ht="12.75" customHeight="1">
      <c r="A22" s="82"/>
      <c r="D22" s="21"/>
      <c r="E22" s="8"/>
      <c r="F22" s="22"/>
      <c r="G22" s="87"/>
      <c r="H22" s="10" t="s">
        <v>3</v>
      </c>
      <c r="I22" s="21" t="s">
        <v>18</v>
      </c>
      <c r="J22" s="22">
        <f>J5</f>
        <v>0</v>
      </c>
      <c r="K22" s="22" t="e">
        <f>K5</f>
        <v>#DIV/0!</v>
      </c>
      <c r="L22" s="4"/>
      <c r="M22" s="21" t="s">
        <v>37</v>
      </c>
      <c r="N22" s="22" t="e">
        <f>ACOS(0.5*SF_s/SLU_s)</f>
        <v>#DIV/0!</v>
      </c>
      <c r="O22" s="5" t="s">
        <v>6</v>
      </c>
    </row>
    <row r="23" spans="1:17" ht="12.75" customHeight="1">
      <c r="A23" s="82"/>
      <c r="C23" s="3"/>
      <c r="D23" s="21"/>
      <c r="E23" s="8"/>
      <c r="F23" s="22"/>
      <c r="G23" s="87"/>
      <c r="H23" s="10"/>
      <c r="I23" s="21" t="s">
        <v>19</v>
      </c>
      <c r="J23" s="22">
        <f>J10</f>
        <v>0</v>
      </c>
      <c r="K23" s="22" t="e">
        <f>K10</f>
        <v>#DIV/0!</v>
      </c>
      <c r="L23" s="4"/>
      <c r="M23" s="21" t="s">
        <v>37</v>
      </c>
      <c r="N23" s="22" t="e">
        <f>Clew_Angle*180/PI()</f>
        <v>#DIV/0!</v>
      </c>
      <c r="O23" s="5" t="s">
        <v>7</v>
      </c>
    </row>
    <row r="24" spans="1:17" ht="12.75" customHeight="1">
      <c r="A24" s="82"/>
      <c r="C24" s="21"/>
      <c r="D24" s="21"/>
      <c r="E24" s="22"/>
      <c r="F24" s="22"/>
      <c r="G24" s="87"/>
      <c r="H24" s="7"/>
      <c r="L24" s="4"/>
      <c r="M24" s="21" t="s">
        <v>33</v>
      </c>
      <c r="N24" s="22" t="e">
        <f>-Clew_Angle</f>
        <v>#DIV/0!</v>
      </c>
      <c r="O24" s="5" t="s">
        <v>6</v>
      </c>
    </row>
    <row r="25" spans="1:17" ht="12.75" customHeight="1">
      <c r="A25" s="82"/>
      <c r="C25" s="21"/>
      <c r="D25" s="21"/>
      <c r="E25" s="22"/>
      <c r="F25" s="22"/>
      <c r="G25" s="87"/>
      <c r="H25" s="7"/>
      <c r="L25" s="4"/>
      <c r="M25" s="21" t="s">
        <v>33</v>
      </c>
      <c r="N25" s="22" t="e">
        <f>-Clew_Angle_s_d</f>
        <v>#DIV/0!</v>
      </c>
      <c r="O25" s="5" t="s">
        <v>7</v>
      </c>
    </row>
    <row r="26" spans="1:17" ht="12.75" customHeight="1">
      <c r="A26" s="82"/>
      <c r="C26" s="21"/>
      <c r="D26" s="21"/>
      <c r="E26" s="22"/>
      <c r="F26" s="22"/>
      <c r="G26" s="101"/>
      <c r="H26" s="7"/>
      <c r="L26" s="3"/>
      <c r="M26" s="3"/>
      <c r="N26" s="3"/>
      <c r="O26" s="12"/>
    </row>
    <row r="27" spans="1:17" ht="12.75" customHeight="1">
      <c r="A27" s="82"/>
      <c r="G27" s="101"/>
      <c r="H27" s="7"/>
      <c r="L27" s="4"/>
      <c r="M27" s="22" t="s">
        <v>16</v>
      </c>
      <c r="N27" s="22">
        <f>SQRT(SLU_s^2-0.5*SF_s)</f>
        <v>0</v>
      </c>
      <c r="O27" s="11"/>
    </row>
    <row r="28" spans="1:17" ht="12.75" customHeight="1">
      <c r="A28" s="82"/>
      <c r="G28" s="87"/>
      <c r="H28" s="7"/>
      <c r="L28" s="4"/>
      <c r="M28" s="21" t="s">
        <v>12</v>
      </c>
      <c r="N28" s="22">
        <f>1.05*SCL_s</f>
        <v>0</v>
      </c>
      <c r="O28" s="11"/>
    </row>
    <row r="29" spans="1:17" ht="12.75" customHeight="1">
      <c r="A29" s="82"/>
      <c r="G29" s="87"/>
      <c r="H29" s="7"/>
      <c r="L29" s="4"/>
      <c r="M29" s="22" t="s">
        <v>3</v>
      </c>
      <c r="N29" s="22">
        <f>IF(OR(SHW_s_Input&gt;0,SMW_s&gt;0),MAX(D7:D8),0)</f>
        <v>0</v>
      </c>
      <c r="O29" s="6"/>
      <c r="Q29" s="114">
        <f>MAX(D7:D8)</f>
        <v>0</v>
      </c>
    </row>
    <row r="30" spans="1:17" ht="12.75" customHeight="1">
      <c r="A30" s="82"/>
      <c r="G30" s="87"/>
      <c r="H30" s="7"/>
      <c r="L30" s="3"/>
      <c r="O30" s="12"/>
    </row>
    <row r="31" spans="1:17" ht="12.75" customHeight="1">
      <c r="A31" s="82"/>
      <c r="B31" s="102"/>
      <c r="C31" s="102"/>
      <c r="D31" s="102"/>
      <c r="E31" s="102"/>
      <c r="F31" s="102"/>
      <c r="G31" s="87"/>
      <c r="H31" s="7"/>
      <c r="I31" s="2"/>
      <c r="J31" s="1"/>
      <c r="K31" s="2"/>
      <c r="L31" s="3"/>
      <c r="M31" s="21"/>
      <c r="N31" s="21" t="s">
        <v>8</v>
      </c>
      <c r="O31" s="5" t="s">
        <v>9</v>
      </c>
    </row>
    <row r="32" spans="1:17" ht="12.75" customHeight="1">
      <c r="A32" s="82"/>
      <c r="G32" s="87"/>
      <c r="H32" s="7"/>
      <c r="I32" s="2"/>
      <c r="J32" s="21"/>
      <c r="K32" s="4"/>
      <c r="L32" s="3"/>
      <c r="M32" s="21" t="s">
        <v>17</v>
      </c>
      <c r="N32" s="22" t="e">
        <f>0.5*SLU_s*COS(Clew_Angle)</f>
        <v>#DIV/0!</v>
      </c>
      <c r="O32" s="6" t="e">
        <f>0.5*SLU_s*SIN(Clew_Angle)</f>
        <v>#DIV/0!</v>
      </c>
    </row>
    <row r="33" spans="1:15" ht="12.75" customHeight="1">
      <c r="A33" s="82"/>
      <c r="C33" s="103"/>
      <c r="G33" s="87"/>
      <c r="H33" s="7"/>
      <c r="I33" s="2"/>
      <c r="J33" s="21"/>
      <c r="K33" s="4"/>
      <c r="L33" s="3"/>
      <c r="M33" s="21" t="s">
        <v>40</v>
      </c>
      <c r="N33" s="22">
        <f>-0.5*SHW_s</f>
        <v>0</v>
      </c>
      <c r="O33" s="6" t="e">
        <f>(0.5*SHW_s+0.5*SLU_s/COS(Clew_Angle)-0.5*SF_s)*TAN(1.57-Clew_Angle)</f>
        <v>#DIV/0!</v>
      </c>
    </row>
    <row r="34" spans="1:15" ht="12.75" customHeight="1">
      <c r="A34" s="82"/>
      <c r="C34" s="103"/>
      <c r="G34" s="87"/>
      <c r="H34" s="7"/>
      <c r="I34" s="2"/>
      <c r="J34" s="21"/>
      <c r="K34" s="22" t="s">
        <v>20</v>
      </c>
      <c r="L34" s="104"/>
      <c r="M34" s="21" t="s">
        <v>17</v>
      </c>
      <c r="N34" s="22" t="e">
        <f>Clew_Left_x-0.5*SLU_s*COS(Clew_Angle)</f>
        <v>#DIV/0!</v>
      </c>
      <c r="O34" s="6" t="e">
        <f>0.5*SLU_s*SIN(Clew_Angle)</f>
        <v>#DIV/0!</v>
      </c>
    </row>
    <row r="35" spans="1:15" ht="12.75" customHeight="1">
      <c r="A35" s="82"/>
      <c r="G35" s="87"/>
      <c r="H35" s="7"/>
      <c r="I35" s="2"/>
      <c r="J35" s="21"/>
      <c r="K35" s="22" t="s">
        <v>21</v>
      </c>
      <c r="L35" s="104"/>
      <c r="M35" s="21" t="s">
        <v>40</v>
      </c>
      <c r="N35" s="22">
        <f>J5</f>
        <v>0</v>
      </c>
      <c r="O35" s="6" t="e">
        <f>SHW_s_y</f>
        <v>#DIV/0!</v>
      </c>
    </row>
    <row r="36" spans="1:15" ht="12.75" customHeight="1">
      <c r="A36" s="82"/>
      <c r="C36" s="105"/>
      <c r="G36" s="87"/>
      <c r="H36" s="7"/>
      <c r="I36" s="2"/>
      <c r="J36" s="21"/>
      <c r="K36" s="22" t="s">
        <v>27</v>
      </c>
      <c r="L36" s="104"/>
      <c r="M36" s="21" t="s">
        <v>17</v>
      </c>
      <c r="N36" s="22" t="e">
        <f>Clew_Right_x+0.5*SLU_s*COS(Clew_Angle)</f>
        <v>#DIV/0!</v>
      </c>
      <c r="O36" s="6" t="e">
        <f>0.5*SLU_s*SIN(Clew_Angle)</f>
        <v>#DIV/0!</v>
      </c>
    </row>
    <row r="37" spans="1:15" ht="12.75" customHeight="1">
      <c r="A37" s="82"/>
      <c r="G37" s="87"/>
      <c r="H37" s="13"/>
      <c r="I37" s="14"/>
      <c r="J37" s="15"/>
      <c r="K37" s="23" t="s">
        <v>21</v>
      </c>
      <c r="L37" s="106"/>
      <c r="M37" s="15" t="s">
        <v>40</v>
      </c>
      <c r="N37" s="23">
        <f>J10</f>
        <v>0</v>
      </c>
      <c r="O37" s="16" t="e">
        <f>SHW_s_y</f>
        <v>#DIV/0!</v>
      </c>
    </row>
    <row r="38" spans="1:15" ht="12.75" customHeight="1">
      <c r="H38" s="74"/>
      <c r="I38" s="74"/>
      <c r="J38" s="75"/>
      <c r="K38" s="76"/>
      <c r="L38" s="107"/>
      <c r="M38" s="75"/>
      <c r="N38" s="76"/>
      <c r="O38" s="76"/>
    </row>
    <row r="39" spans="1:15" ht="12.75" customHeight="1">
      <c r="K39" s="22"/>
      <c r="L39" s="104"/>
      <c r="M39" s="21"/>
      <c r="N39" s="22"/>
      <c r="O39" s="22"/>
    </row>
    <row r="40" spans="1:15" ht="12.75" customHeight="1">
      <c r="H40" s="80" t="s">
        <v>75</v>
      </c>
      <c r="J40" s="108" t="e">
        <f>RADIANS(180-Clew_Angle_s_d)</f>
        <v>#DIV/0!</v>
      </c>
      <c r="K40" s="22"/>
      <c r="L40" s="104"/>
      <c r="M40" s="21"/>
      <c r="N40" s="22"/>
      <c r="O40" s="22"/>
    </row>
    <row r="41" spans="1:15" ht="12.75" customHeight="1">
      <c r="H41" s="1" t="s">
        <v>70</v>
      </c>
      <c r="I41" s="2"/>
      <c r="J41" s="4" t="e">
        <f>RADIANS(180-Clew_Angle_s_d-90)</f>
        <v>#DIV/0!</v>
      </c>
      <c r="K41" s="22"/>
      <c r="L41" s="104"/>
      <c r="M41" s="21"/>
      <c r="N41" s="22"/>
      <c r="O41" s="22"/>
    </row>
    <row r="42" spans="1:15" s="102" customFormat="1" ht="12.75" customHeight="1">
      <c r="A42" s="109"/>
      <c r="G42" s="110"/>
      <c r="H42" s="1" t="s">
        <v>71</v>
      </c>
      <c r="I42" s="2"/>
      <c r="J42" s="4" t="e">
        <f>Clew_Angle+RADIANS(90)</f>
        <v>#DIV/0!</v>
      </c>
      <c r="K42" s="81"/>
      <c r="L42" s="81"/>
      <c r="M42" s="81"/>
      <c r="N42" s="81"/>
      <c r="O42" s="81"/>
    </row>
    <row r="43" spans="1:15">
      <c r="K43" s="111"/>
    </row>
    <row r="44" spans="1:15">
      <c r="G44" s="82"/>
      <c r="H44" s="112" t="s">
        <v>50</v>
      </c>
      <c r="J44" s="73" t="s">
        <v>8</v>
      </c>
      <c r="K44" s="24" t="s">
        <v>9</v>
      </c>
      <c r="L44" s="113"/>
    </row>
    <row r="45" spans="1:15">
      <c r="G45" s="82"/>
      <c r="H45" s="80" t="str">
        <f>IF(AND(SLU_s&gt;0,SF_s&gt;0),IF(OR(SHW_s_Input&gt;0,SMW_s&gt;0),"Luff/Leech Length",""),"")</f>
        <v/>
      </c>
      <c r="I45" s="80" t="s">
        <v>18</v>
      </c>
      <c r="J45" s="108" t="e">
        <f>J63+M45*SLU_s*COS(J40)</f>
        <v>#DIV/0!</v>
      </c>
      <c r="K45" s="108" t="e">
        <f>K63+M45*SLU_s*SIN(J40)</f>
        <v>#DIV/0!</v>
      </c>
      <c r="L45" s="80" t="s">
        <v>76</v>
      </c>
      <c r="M45" s="114">
        <v>0.64</v>
      </c>
      <c r="N45" s="114">
        <f>J14</f>
        <v>0</v>
      </c>
      <c r="O45" s="114">
        <f>K14</f>
        <v>0</v>
      </c>
    </row>
    <row r="46" spans="1:15">
      <c r="G46" s="82"/>
      <c r="H46" s="80" t="str">
        <f>IF(AND(SLU_s&gt;0,SF_s&gt;0),IF(OR(SHW_s_Input&gt;0,SMW_s&gt;0),"Luff/Leech Length",""),"")</f>
        <v/>
      </c>
      <c r="I46" s="80" t="s">
        <v>19</v>
      </c>
      <c r="J46" s="108" t="e">
        <f>J70+M46*SLU_s*COS(Clew_Angle)</f>
        <v>#DIV/0!</v>
      </c>
      <c r="K46" s="108" t="e">
        <f>K70+M46*SLU_s*SIN(Clew_Angle)</f>
        <v>#DIV/0!</v>
      </c>
      <c r="L46" s="80" t="s">
        <v>76</v>
      </c>
      <c r="M46" s="80">
        <v>0.66</v>
      </c>
      <c r="N46" s="114" t="e">
        <f>N45+5*COS(LeftPer)</f>
        <v>#DIV/0!</v>
      </c>
      <c r="O46" s="114" t="e">
        <f>O45+5*SIN(LeftPer)</f>
        <v>#DIV/0!</v>
      </c>
    </row>
    <row r="47" spans="1:15">
      <c r="G47" s="82"/>
      <c r="J47" s="115"/>
      <c r="K47" s="108"/>
      <c r="N47" s="114"/>
      <c r="O47" s="114"/>
    </row>
    <row r="48" spans="1:15">
      <c r="G48" s="82"/>
      <c r="J48" s="115"/>
      <c r="K48" s="115"/>
    </row>
    <row r="49" spans="7:14">
      <c r="G49" s="82"/>
      <c r="H49" s="105" t="str">
        <f>IF(AND(SLU_s&gt;0,SF_s&gt;0),IF(SHW_s_Input&gt;SMW_s,"Half Width","Max Width"),"")</f>
        <v/>
      </c>
      <c r="J49" s="108">
        <f>Head_x</f>
        <v>0</v>
      </c>
      <c r="K49" s="108" t="e">
        <f>K22-0.03*SLU_s</f>
        <v>#DIV/0!</v>
      </c>
    </row>
    <row r="50" spans="7:14">
      <c r="G50" s="82"/>
      <c r="J50" s="115"/>
      <c r="K50" s="115"/>
    </row>
    <row r="51" spans="7:14">
      <c r="H51" s="105"/>
      <c r="J51" s="108">
        <f>Head_x</f>
        <v>0</v>
      </c>
      <c r="K51" s="108" t="e">
        <f>K22-0.03*SLU_s</f>
        <v>#DIV/0!</v>
      </c>
      <c r="N51" s="80" t="s">
        <v>78</v>
      </c>
    </row>
    <row r="52" spans="7:14">
      <c r="G52" s="82"/>
      <c r="J52" s="115"/>
      <c r="K52" s="115"/>
    </row>
    <row r="53" spans="7:14">
      <c r="G53" s="82"/>
      <c r="H53" s="80" t="str">
        <f>IF(AND(SLU_s&gt;0,SF_s&gt;0),IF(OR(SHW_s_Input&gt;0,SMW_s&gt;0),"Foot Length",""),"")</f>
        <v/>
      </c>
      <c r="J53" s="108">
        <f>Head_x</f>
        <v>0</v>
      </c>
      <c r="K53" s="108">
        <f>Clew_Left_y+0.03*SLU_s</f>
        <v>0</v>
      </c>
    </row>
    <row r="54" spans="7:14">
      <c r="G54" s="82"/>
    </row>
    <row r="55" spans="7:14">
      <c r="G55" s="82"/>
      <c r="J55" s="73" t="s">
        <v>8</v>
      </c>
      <c r="K55" s="24" t="s">
        <v>9</v>
      </c>
    </row>
    <row r="56" spans="7:14">
      <c r="G56" s="82"/>
      <c r="H56" s="116" t="s">
        <v>68</v>
      </c>
      <c r="I56" s="114">
        <f>0.015*SLU_s</f>
        <v>0</v>
      </c>
    </row>
    <row r="57" spans="7:14">
      <c r="G57" s="82"/>
      <c r="H57" s="116" t="s">
        <v>69</v>
      </c>
      <c r="I57" s="114">
        <f>I56*1.33</f>
        <v>0</v>
      </c>
    </row>
    <row r="58" spans="7:14">
      <c r="G58" s="82"/>
      <c r="H58" s="116" t="s">
        <v>51</v>
      </c>
      <c r="I58" s="116" t="s">
        <v>52</v>
      </c>
      <c r="J58" s="117">
        <f>IF(AND(SLU_s&gt;0,SLE_s&gt;0,SHW_s&gt;0,SF_s&gt;0),Head_x+Tick_Offset*COS(LeftPer),0)</f>
        <v>0</v>
      </c>
      <c r="K58" s="117">
        <f>IF(AND(SLU_s&gt;0,SLE_s&gt;0,SHW_s&gt;0,SF_s&gt;0),Head_y+Tick_Offset*SIN(LeftPer),0)</f>
        <v>0</v>
      </c>
    </row>
    <row r="59" spans="7:14">
      <c r="G59" s="82"/>
      <c r="H59" s="116"/>
      <c r="I59" s="116" t="s">
        <v>53</v>
      </c>
      <c r="J59" s="117">
        <f>IF(AND(SLU_s&gt;0,SLE_s&gt;0,SHW_s&gt;0,SF_s&gt;0),J58+Tick_length*COS(LeftPer),0)</f>
        <v>0</v>
      </c>
      <c r="K59" s="117">
        <f>IF(AND(SLU_s&gt;0,SLE_s&gt;0,SHW_s&gt;0,SF_s&gt;0),K58+Tick_length*SIN(LeftPer),0)</f>
        <v>0</v>
      </c>
    </row>
    <row r="60" spans="7:14">
      <c r="G60" s="82"/>
      <c r="I60" s="116" t="s">
        <v>54</v>
      </c>
      <c r="J60" s="117">
        <f>IF(AND(SLU_s&gt;0,SLE_s&gt;0,SHW_s&gt;0,SF_s&gt;0),Clew_Left_x+Tick_Offset*COS(LeftPer),0)</f>
        <v>0</v>
      </c>
      <c r="K60" s="117">
        <f>IF(AND(SLU_s&gt;0,SLE_s&gt;0,SHW_s&gt;0,SF_s&gt;0),Clew_Left_y+Tick_Offset*SIN(LeftPer),0)</f>
        <v>0</v>
      </c>
    </row>
    <row r="61" spans="7:14">
      <c r="G61" s="82"/>
      <c r="I61" s="116" t="s">
        <v>55</v>
      </c>
      <c r="J61" s="117">
        <f>IF(AND(SLU_s&gt;0,SLE_s&gt;0,SHW_s&gt;0,SF_s&gt;0),J60+Tick_length*COS(LeftPer),0)</f>
        <v>0</v>
      </c>
      <c r="K61" s="117">
        <f>IF(AND(SLU_s&gt;0,SLE_s&gt;0,SHW_s&gt;0,SF_s&gt;0),K60+Tick_length*SIN(LeftPer),0)</f>
        <v>0</v>
      </c>
    </row>
    <row r="62" spans="7:14">
      <c r="G62" s="82"/>
      <c r="I62" s="116" t="s">
        <v>56</v>
      </c>
      <c r="J62" s="117">
        <f>IF(AND(SLU_s&gt;0,SLE_s&gt;0,SHW_s&gt;0,SF_s&gt;0),J58+0.5*Tick_length*COS(LeftPer),0)</f>
        <v>0</v>
      </c>
      <c r="K62" s="117">
        <f>IF(AND(SLU_s&gt;0,SLE_s&gt;0,SHW_s&gt;0,SF_s&gt;0),K58+0.5*Tick_length*SIN(LeftPer),0)</f>
        <v>0</v>
      </c>
    </row>
    <row r="63" spans="7:14">
      <c r="G63" s="82"/>
      <c r="I63" s="116" t="s">
        <v>57</v>
      </c>
      <c r="J63" s="117">
        <f>IF(AND(SLU_s&gt;0,SLE_s&gt;0,SHW_s&gt;0,SF_s&gt;0),J60+0.5*Tick_length*COS(LeftPer),0)</f>
        <v>0</v>
      </c>
      <c r="K63" s="117">
        <f>IF(AND(SLU_s&gt;0,SLE_s&gt;0,SHW_s&gt;0,SF_s&gt;0),K60+0.5*Tick_length*SIN(LeftPer),0)</f>
        <v>0</v>
      </c>
    </row>
    <row r="64" spans="7:14">
      <c r="G64" s="82"/>
      <c r="I64" s="116"/>
      <c r="J64" s="114"/>
      <c r="K64" s="114"/>
    </row>
    <row r="65" spans="7:11">
      <c r="G65" s="82"/>
      <c r="H65" s="116" t="s">
        <v>58</v>
      </c>
      <c r="I65" s="116" t="s">
        <v>53</v>
      </c>
      <c r="J65" s="117">
        <f>IF(AND(SLU_s&gt;0,SLE_s&gt;0,SHW_s&gt;0,SF_s&gt;0),Head_x+Tick_Offset*COS(RightPer),0)</f>
        <v>0</v>
      </c>
      <c r="K65" s="117">
        <f>IF(AND(SLU_s&gt;0,SLE_s&gt;0,SHW_s&gt;0,SF_s&gt;0),Head_y+Tick_Offset*SIN(RightPer),0)</f>
        <v>0</v>
      </c>
    </row>
    <row r="66" spans="7:11">
      <c r="G66" s="82"/>
      <c r="H66" s="116"/>
      <c r="I66" s="116" t="s">
        <v>52</v>
      </c>
      <c r="J66" s="117">
        <f>IF(AND(SLU_s&gt;0,SLE_s&gt;0,SHW_s&gt;0,SF_s&gt;0),J65+Tick_length*COS(RightPer),0)</f>
        <v>0</v>
      </c>
      <c r="K66" s="117">
        <f>IF(AND(SLU_s&gt;0,SLE_s&gt;0,SHW_s&gt;0,SF_s&gt;0),K65+Tick_length*SIN(RightPer),0)</f>
        <v>0</v>
      </c>
    </row>
    <row r="67" spans="7:11">
      <c r="G67" s="82"/>
      <c r="I67" s="116" t="s">
        <v>55</v>
      </c>
      <c r="J67" s="117">
        <f>IF(AND(SLU_s&gt;0,SLE_s&gt;0,SHW_s&gt;0,SF_s&gt;0),Clew_Right_x+Tick_Offset*COS(RightPer),0)</f>
        <v>0</v>
      </c>
      <c r="K67" s="117">
        <f>IF(AND(SLU_s&gt;0,SLE_s&gt;0,SHW_s&gt;0,SF_s&gt;0),Clew_Right_y+Tick_Offset*SIN(RightPer),0)</f>
        <v>0</v>
      </c>
    </row>
    <row r="68" spans="7:11">
      <c r="G68" s="82"/>
      <c r="I68" s="116" t="s">
        <v>54</v>
      </c>
      <c r="J68" s="117">
        <f>IF(AND(SLU_s&gt;0,SLE_s&gt;0,SHW_s&gt;0,SF_s&gt;0),J67+Tick_length*COS(RightPer),0)</f>
        <v>0</v>
      </c>
      <c r="K68" s="117">
        <f>IF(AND(SLU_s&gt;0,SLE_s&gt;0,SHW_s&gt;0,SF_s&gt;0),K67+Tick_length*SIN(RightPer),0)</f>
        <v>0</v>
      </c>
    </row>
    <row r="69" spans="7:11">
      <c r="G69" s="82"/>
      <c r="I69" s="116" t="s">
        <v>59</v>
      </c>
      <c r="J69" s="117">
        <f>IF(AND(SLU_s&gt;0,SLE_s&gt;0,SHW_s&gt;0,SF_s&gt;0),J65+0.5*Tick_length*COS(RightPer),0)</f>
        <v>0</v>
      </c>
      <c r="K69" s="117">
        <f>IF(AND(SLU_s&gt;0,SLE_s&gt;0,SHW_s&gt;0,SF_s&gt;0),K65+0.5*Tick_length*SIN(RightPer),0)</f>
        <v>0</v>
      </c>
    </row>
    <row r="70" spans="7:11">
      <c r="G70" s="82"/>
      <c r="I70" s="116" t="s">
        <v>60</v>
      </c>
      <c r="J70" s="117">
        <f>IF(AND(SLU_s&gt;0,SLE_s&gt;0,SHW_s&gt;0,SF_s&gt;0),J67+0.5*Tick_length*COS(RightPer),0)</f>
        <v>0</v>
      </c>
      <c r="K70" s="117">
        <f>IF(AND(SLU_s&gt;0,SLE_s&gt;0,SHW_s&gt;0,SF_s&gt;0),K67+0.5*Tick_length*SIN(RightPer),0)</f>
        <v>0</v>
      </c>
    </row>
    <row r="71" spans="7:11">
      <c r="G71" s="82"/>
    </row>
    <row r="72" spans="7:11">
      <c r="G72" s="82"/>
      <c r="H72" s="116" t="s">
        <v>61</v>
      </c>
      <c r="I72" s="116" t="s">
        <v>62</v>
      </c>
      <c r="J72" s="80">
        <f>Clew_Left_x</f>
        <v>0</v>
      </c>
      <c r="K72" s="114">
        <f>Clew_Left_y+FootOff_y</f>
        <v>0</v>
      </c>
    </row>
    <row r="73" spans="7:11">
      <c r="G73" s="82"/>
      <c r="H73" s="116"/>
      <c r="I73" s="116" t="s">
        <v>63</v>
      </c>
      <c r="J73" s="80">
        <f>Clew_Left_x</f>
        <v>0</v>
      </c>
      <c r="K73" s="114">
        <f>Clew_Left_y+FootOff_y-Tick_length</f>
        <v>0</v>
      </c>
    </row>
    <row r="74" spans="7:11">
      <c r="G74" s="82"/>
      <c r="I74" s="116" t="s">
        <v>64</v>
      </c>
      <c r="J74" s="80">
        <f>Clew_Right_x</f>
        <v>0</v>
      </c>
      <c r="K74" s="114">
        <f>Clew_Right_y+FootOff_y</f>
        <v>0</v>
      </c>
    </row>
    <row r="75" spans="7:11">
      <c r="G75" s="82"/>
      <c r="I75" s="116" t="s">
        <v>65</v>
      </c>
      <c r="J75" s="80">
        <f>Clew_Right_x</f>
        <v>0</v>
      </c>
      <c r="K75" s="114">
        <f>Clew_Right_y+FootOff_y-Tick_length</f>
        <v>0</v>
      </c>
    </row>
    <row r="76" spans="7:11">
      <c r="G76" s="82"/>
      <c r="I76" s="116" t="s">
        <v>66</v>
      </c>
      <c r="J76" s="80">
        <f>Clew_Left_x</f>
        <v>0</v>
      </c>
      <c r="K76" s="114">
        <f>0.5*(K73-K72)+K72</f>
        <v>0</v>
      </c>
    </row>
    <row r="77" spans="7:11">
      <c r="G77" s="82"/>
      <c r="I77" s="116" t="s">
        <v>67</v>
      </c>
      <c r="J77" s="80">
        <f>Clew_Right_x</f>
        <v>0</v>
      </c>
      <c r="K77" s="114">
        <f>0.5*(K74-K73)+K73</f>
        <v>0</v>
      </c>
    </row>
    <row r="78" spans="7:11">
      <c r="G78" s="82"/>
    </row>
  </sheetData>
  <mergeCells count="1">
    <mergeCell ref="C4:D4"/>
  </mergeCells>
  <printOptions horizontalCentered="1" verticalCentered="1"/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67</vt:i4>
      </vt:variant>
    </vt:vector>
  </HeadingPairs>
  <TitlesOfParts>
    <vt:vector size="69" baseType="lpstr">
      <vt:lpstr>Sail Data</vt:lpstr>
      <vt:lpstr>Calcs-1</vt:lpstr>
      <vt:lpstr>Clew_Angle</vt:lpstr>
      <vt:lpstr>Clew_Angle_Neg</vt:lpstr>
      <vt:lpstr>Clew_Angle_s_d</vt:lpstr>
      <vt:lpstr>Clew_Left_x</vt:lpstr>
      <vt:lpstr>Clew_Left_y</vt:lpstr>
      <vt:lpstr>Clew_Right_x</vt:lpstr>
      <vt:lpstr>Clew_Right_y</vt:lpstr>
      <vt:lpstr>FootOff_x</vt:lpstr>
      <vt:lpstr>FootOff_y</vt:lpstr>
      <vt:lpstr>Head_x</vt:lpstr>
      <vt:lpstr>Head_y</vt:lpstr>
      <vt:lpstr>LeftPer</vt:lpstr>
      <vt:lpstr>Neg_Clew_Angle_s_d</vt:lpstr>
      <vt:lpstr>'Calcs-1'!Print_Area</vt:lpstr>
      <vt:lpstr>'Sail Data'!Print_Area</vt:lpstr>
      <vt:lpstr>RightPer</vt:lpstr>
      <vt:lpstr>SCL_s</vt:lpstr>
      <vt:lpstr>SF_1</vt:lpstr>
      <vt:lpstr>SF_1a</vt:lpstr>
      <vt:lpstr>SF_a</vt:lpstr>
      <vt:lpstr>SF_s</vt:lpstr>
      <vt:lpstr>SHW_a</vt:lpstr>
      <vt:lpstr>SHW_s</vt:lpstr>
      <vt:lpstr>SHW_s_Input</vt:lpstr>
      <vt:lpstr>SHW_s_x</vt:lpstr>
      <vt:lpstr>SHW_s_y</vt:lpstr>
      <vt:lpstr>SL_Mid_s_x</vt:lpstr>
      <vt:lpstr>SL_Mid_s_y</vt:lpstr>
      <vt:lpstr>SLE_1</vt:lpstr>
      <vt:lpstr>SLE_1a</vt:lpstr>
      <vt:lpstr>SLE_a</vt:lpstr>
      <vt:lpstr>SLE_Half_Luff_x</vt:lpstr>
      <vt:lpstr>SLE_Half_Luff_y</vt:lpstr>
      <vt:lpstr>SLE_s</vt:lpstr>
      <vt:lpstr>SLU_1</vt:lpstr>
      <vt:lpstr>SLU_1a</vt:lpstr>
      <vt:lpstr>SLU_a</vt:lpstr>
      <vt:lpstr>SLU_Half_Luff_x</vt:lpstr>
      <vt:lpstr>SLU_Half_Luff_y</vt:lpstr>
      <vt:lpstr>SLU_s</vt:lpstr>
      <vt:lpstr>SMG_1</vt:lpstr>
      <vt:lpstr>SMG_1a</vt:lpstr>
      <vt:lpstr>SMW_1</vt:lpstr>
      <vt:lpstr>SMW_1a</vt:lpstr>
      <vt:lpstr>SMW_s</vt:lpstr>
      <vt:lpstr>Spin_s_scale</vt:lpstr>
      <vt:lpstr>SS_axes_maxx</vt:lpstr>
      <vt:lpstr>SS_axes_maxy</vt:lpstr>
      <vt:lpstr>SS_axes_minx</vt:lpstr>
      <vt:lpstr>SS_axes_miny</vt:lpstr>
      <vt:lpstr>SS_data_maxx</vt:lpstr>
      <vt:lpstr>SS_data_maxy</vt:lpstr>
      <vt:lpstr>SS_data_minx</vt:lpstr>
      <vt:lpstr>SS_data_miny</vt:lpstr>
      <vt:lpstr>SS_dummy_hor_maxx</vt:lpstr>
      <vt:lpstr>SS_dummy_hor_maxy</vt:lpstr>
      <vt:lpstr>SS_dummy_hor_minx</vt:lpstr>
      <vt:lpstr>SS_dummy_hor_miny</vt:lpstr>
      <vt:lpstr>SS_dummy_vert_maxx</vt:lpstr>
      <vt:lpstr>SS_dummy_vert_maxy</vt:lpstr>
      <vt:lpstr>SS_dummy_vert_minx</vt:lpstr>
      <vt:lpstr>SS_dummy_vert_miny</vt:lpstr>
      <vt:lpstr>SS_xdata_range</vt:lpstr>
      <vt:lpstr>SS_ydata_range</vt:lpstr>
      <vt:lpstr>Sym_Plot_Max_Height</vt:lpstr>
      <vt:lpstr>Tick_length</vt:lpstr>
      <vt:lpstr>Tick_Offset</vt:lpstr>
    </vt:vector>
  </TitlesOfParts>
  <Company>US Sailing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Baittinger</dc:creator>
  <cp:lastModifiedBy>Kett Cummins</cp:lastModifiedBy>
  <cp:lastPrinted>2013-03-21T14:28:16Z</cp:lastPrinted>
  <dcterms:created xsi:type="dcterms:W3CDTF">2013-03-07T14:25:35Z</dcterms:created>
  <dcterms:modified xsi:type="dcterms:W3CDTF">2025-03-13T18:27:57Z</dcterms:modified>
</cp:coreProperties>
</file>