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ett\Dropbox\ORRez\Measurement\"/>
    </mc:Choice>
  </mc:AlternateContent>
  <bookViews>
    <workbookView showSheetTabs="0" xWindow="32760" yWindow="30" windowWidth="12780" windowHeight="10635" tabRatio="502"/>
  </bookViews>
  <sheets>
    <sheet name="Sail Data" sheetId="4" r:id="rId1"/>
    <sheet name="Calcs-1" sheetId="9" state="hidden" r:id="rId2"/>
  </sheets>
  <definedNames>
    <definedName name="Angle_Step">'Calcs-1'!$D$51</definedName>
    <definedName name="arc_radius">'Calcs-1'!$D$49</definedName>
    <definedName name="Base_Angle">'Calcs-1'!$D$50</definedName>
    <definedName name="BaseforHHWx">'Calcs-1'!$R$70</definedName>
    <definedName name="BaseforHLWx">'Calcs-1'!$R$64</definedName>
    <definedName name="BaseforHTWx">'Calcs-1'!$R$76</definedName>
    <definedName name="BaseforHUWx">'Calcs-1'!$R$82</definedName>
    <definedName name="BaseforLPx">'Calcs-1'!$R$22</definedName>
    <definedName name="CH">'Calcs-1'!$R$7</definedName>
    <definedName name="Clew_x">'Calcs-1'!$J$5</definedName>
    <definedName name="Clew_y">'Calcs-1'!$K$5</definedName>
    <definedName name="Eight_Leech">'Calcs-1'!$R$46</definedName>
    <definedName name="extadj">'Calcs-1'!$R$18</definedName>
    <definedName name="exthyp">'Calcs-1'!$R$17</definedName>
    <definedName name="ExtLeech">'Calcs-1'!$R$58</definedName>
    <definedName name="ExtLeechAngleatBase_d">'Calcs-1'!$R$50</definedName>
    <definedName name="ExtLeechAngleatBase_r">'Calcs-1'!$R$51</definedName>
    <definedName name="ExtLeechatBasex">'Calcs-1'!$R$60</definedName>
    <definedName name="ExtLeechBase">'Calcs-1'!$R$59</definedName>
    <definedName name="FA_d">'Calcs-1'!$R$8</definedName>
    <definedName name="FA_r">'Calcs-1'!$R$9</definedName>
    <definedName name="FAPer">'Calcs-1'!$R$11</definedName>
    <definedName name="Foot_Length">'Calcs-1'!$R$94</definedName>
    <definedName name="Foot_Mid_Distance">'Calcs-1'!$R$95</definedName>
    <definedName name="Foot_Off_1">'Sail Data'!$R$13</definedName>
    <definedName name="Foot_Off_1a">'Sail Data'!$S$13</definedName>
    <definedName name="Foot_Offset_Input">'Calcs-1'!$D$12</definedName>
    <definedName name="FootMidx">'Calcs-1'!$R$99</definedName>
    <definedName name="FootMidy">'Calcs-1'!$R$98</definedName>
    <definedName name="FootOffset">'Calcs-1'!$R$93</definedName>
    <definedName name="FootOffsetx">'Calcs-1'!$J$41</definedName>
    <definedName name="FootOffsety">'Calcs-1'!$K$41</definedName>
    <definedName name="HA_d">'Calcs-1'!$R$38</definedName>
    <definedName name="HA_r">'Calcs-1'!$R$37</definedName>
    <definedName name="Half_Leech">'Calcs-1'!$R$44</definedName>
    <definedName name="HB__est">" "</definedName>
    <definedName name="HB_x">'Calcs-1'!$J$5</definedName>
    <definedName name="Headsail_scale">'Calcs-1'!$R$12</definedName>
    <definedName name="Headx">'Calcs-1'!$J$6</definedName>
    <definedName name="Heady">'Calcs-1'!$K$6</definedName>
    <definedName name="HHW">'Calcs-1'!$D$9</definedName>
    <definedName name="HHWaboveLP">'Calcs-1'!$R$88</definedName>
    <definedName name="HHWatLuffx">'Calcs-1'!$J$11</definedName>
    <definedName name="HHWatLuffy">'Calcs-1'!$K$11</definedName>
    <definedName name="HHWextLeech">'Calcs-1'!$R$69</definedName>
    <definedName name="HHWLeechPointx">'Calcs-1'!$R$72</definedName>
    <definedName name="HHWLeechPointy">'Calcs-1'!$R$71</definedName>
    <definedName name="HLW">'Calcs-1'!$D$16</definedName>
    <definedName name="HLW_Input">'Calcs-1'!$D$10</definedName>
    <definedName name="HLWaboveLP">'Calcs-1'!$R$87</definedName>
    <definedName name="HLWatLuffx">'Calcs-1'!$J$10</definedName>
    <definedName name="HLWatLuffy">'Calcs-1'!$K$10</definedName>
    <definedName name="HLWextLeech">'Calcs-1'!$R$63</definedName>
    <definedName name="HLWLeechPointx">'Calcs-1'!$R$66</definedName>
    <definedName name="HLWLeechPointy">'Calcs-1'!$R$65</definedName>
    <definedName name="HS_axes_maxx">'Calcs-1'!$N$11</definedName>
    <definedName name="HS_axes_maxy">'Calcs-1'!$O$11</definedName>
    <definedName name="HS_axes_minx">'Calcs-1'!$N$12</definedName>
    <definedName name="HS_axes_miny">'Calcs-1'!$O$12</definedName>
    <definedName name="HS_data_maxx">'Calcs-1'!$N$5</definedName>
    <definedName name="HS_data_maxy">'Calcs-1'!$O$5</definedName>
    <definedName name="HS_data_minx">'Calcs-1'!$N$6</definedName>
    <definedName name="HS_data_miny">'Calcs-1'!$O$6</definedName>
    <definedName name="HS_dummy_hor_maxx">'Calcs-1'!$N$17</definedName>
    <definedName name="HS_dummy_hor_maxy">'Calcs-1'!$O$17</definedName>
    <definedName name="HS_dummy_hor_minx">'Calcs-1'!$N$18</definedName>
    <definedName name="HS_dummy_hor_miny">'Calcs-1'!$O$18</definedName>
    <definedName name="HS_dummy_vert_maxx">'Calcs-1'!$N$19</definedName>
    <definedName name="HS_dummy_vert_maxy">'Calcs-1'!$O$19</definedName>
    <definedName name="HS_dummy_vert_minx">'Calcs-1'!$N$20</definedName>
    <definedName name="HS_dummy_vert_miny">'Calcs-1'!$O$20</definedName>
    <definedName name="HS_xdata_range">'Calcs-1'!$N$7</definedName>
    <definedName name="HS_ydata_range">'Calcs-1'!$O$7</definedName>
    <definedName name="HTW">'Calcs-1'!$D$8</definedName>
    <definedName name="HTWaboveLP">'Calcs-1'!$R$89</definedName>
    <definedName name="HTWatLuffx">'Calcs-1'!$J$12</definedName>
    <definedName name="HTWatLuffy">'Calcs-1'!$K$12</definedName>
    <definedName name="HTWextLeech">'Calcs-1'!$R$75</definedName>
    <definedName name="HTWLeechPointx">'Calcs-1'!$R$78</definedName>
    <definedName name="HTWLeechPointy">'Calcs-1'!$R$77</definedName>
    <definedName name="HUW">'Calcs-1'!$D$15</definedName>
    <definedName name="HUW_Input">'Calcs-1'!$D$7</definedName>
    <definedName name="HUWaboveLP">'Calcs-1'!$R$90</definedName>
    <definedName name="HUWatLuffx">'Calcs-1'!$J$13</definedName>
    <definedName name="HUWatLuffy">'Calcs-1'!$K$13</definedName>
    <definedName name="HUWextLeech">'Calcs-1'!$R$81</definedName>
    <definedName name="HUWLeechPointx">'Calcs-1'!$R$84</definedName>
    <definedName name="HUWLeechPointy">'Calcs-1'!$R$83</definedName>
    <definedName name="JGL_1">'Sail Data'!$R$11</definedName>
    <definedName name="JGL_1a">'Sail Data'!$S$11</definedName>
    <definedName name="JGM_1">'Sail Data'!$R$10</definedName>
    <definedName name="JGM_1a">'Sail Data'!$S$10</definedName>
    <definedName name="JGT_1">'Sail Data'!$R$8</definedName>
    <definedName name="JGT_1a">'Sail Data'!$S$8</definedName>
    <definedName name="JGU_1">'Sail Data'!$R$9</definedName>
    <definedName name="JGU_1a">'Sail Data'!$S$9</definedName>
    <definedName name="JH">'Calcs-1'!$D$17</definedName>
    <definedName name="JH_1">'Sail Data'!$R$7</definedName>
    <definedName name="JH_1a">'Sail Data'!$S$7</definedName>
    <definedName name="JH_Input">'Calcs-1'!$D$11</definedName>
    <definedName name="JHatLeechx">'Calcs-1'!$J$17</definedName>
    <definedName name="JHatLeechy">'Calcs-1'!$K$17</definedName>
    <definedName name="JL_1">'Sail Data'!$R$5</definedName>
    <definedName name="JL_1a">'Sail Data'!$S$5</definedName>
    <definedName name="JL_Tick_Length">'Calcs-1'!$E$145</definedName>
    <definedName name="JL_Tick_Offset">'Calcs-1'!$E$144</definedName>
    <definedName name="JLE_1">'Sail Data'!$R$12</definedName>
    <definedName name="Leech">'Calcs-1'!$R$27</definedName>
    <definedName name="LL">'Calcs-1'!$D$5</definedName>
    <definedName name="LL_Above_LP">'Calcs-1'!$R$25</definedName>
    <definedName name="LL_Below_LP">'Calcs-1'!$R$24</definedName>
    <definedName name="LL_Tick_Length">'Calcs-1'!$E$130</definedName>
    <definedName name="LL_Tick_Offset">'Calcs-1'!$E$129</definedName>
    <definedName name="LP">'Calcs-1'!$D$6</definedName>
    <definedName name="LPatLuff_x">'Calcs-1'!$J$9</definedName>
    <definedName name="LPatLuff_y">'Calcs-1'!$K$9</definedName>
    <definedName name="LPext">'Calcs-1'!$R$19</definedName>
    <definedName name="LPextAngle_d">'Calcs-1'!$R$13</definedName>
    <definedName name="LPextAngle_r">'Calcs-1'!$R$15</definedName>
    <definedName name="LPextBase">'Calcs-1'!$R$20</definedName>
    <definedName name="LPG_1">'Sail Data'!$R$6</definedName>
    <definedName name="LPG_1a">'Sail Data'!$S$6</definedName>
    <definedName name="MGL">'Calcs-1'!$D$15</definedName>
    <definedName name="MGL_y">'Calcs-1'!$K$9</definedName>
    <definedName name="MGM">'Calcs-1'!$D$8</definedName>
    <definedName name="MGM_y">'Calcs-1'!$K$8</definedName>
    <definedName name="MGT">'Calcs-1'!$D$6</definedName>
    <definedName name="MGT_y">'Calcs-1'!$K$6</definedName>
    <definedName name="MGU">'Calcs-1'!$D$7</definedName>
    <definedName name="Neg_LPextAngle_d">'Calcs-1'!$R$14</definedName>
    <definedName name="_xlnm.Print_Area" localSheetId="1">'Calcs-1'!$C$1:$O$57</definedName>
    <definedName name="_xlnm.Print_Area" localSheetId="0">'Sail Data'!$B$1:$N$61</definedName>
    <definedName name="Qtr_Leech">'Calcs-1'!$R$45</definedName>
    <definedName name="RatioHalf">'Calcs-1'!$E$45</definedName>
    <definedName name="RatioThird">'Calcs-1'!$E$46</definedName>
    <definedName name="ReHHWatLeechx">'Calcs-1'!$J$21</definedName>
    <definedName name="ReHHWatLeechy">'Calcs-1'!$K$21</definedName>
    <definedName name="ReHLWatLeechx">'Calcs-1'!$J$20</definedName>
    <definedName name="ReHLWatLeechy">'Calcs-1'!$K$20</definedName>
    <definedName name="ReHTWatLeechx">'Calcs-1'!$J$22</definedName>
    <definedName name="ReHTWatLeechy">'Calcs-1'!$K$22</definedName>
    <definedName name="ReHUWatLeechx">'Calcs-1'!$J$23</definedName>
    <definedName name="ReHUWatLeechy">'Calcs-1'!$K$23</definedName>
    <definedName name="SevenEight_Leech_Distance">'Calcs-1'!$R$48</definedName>
    <definedName name="SLA_r">'Calcs-1'!$R$54</definedName>
    <definedName name="SLAPer">'Calcs-1'!$R$56</definedName>
    <definedName name="TA_d">'Calcs-1'!$R$42</definedName>
    <definedName name="TA_r">'Calcs-1'!$R$41</definedName>
    <definedName name="Tack_h_x">'Calcs-1'!$J$4</definedName>
    <definedName name="Tack_h_y">'Calcs-1'!$K$4</definedName>
    <definedName name="Tack_x_Input">'Calcs-1'!$R$4</definedName>
    <definedName name="Tack_y_Input">'Calcs-1'!$R$5</definedName>
    <definedName name="ThreeQtr_Leech_Distance">'Calcs-1'!$R$47</definedName>
    <definedName name="Tick_Length">'Calcs-1'!$E$118</definedName>
    <definedName name="Tick_Offset">'Calcs-1'!$E$117</definedName>
    <definedName name="xdxd">'Calcs-1'!$J$4</definedName>
    <definedName name="xxxxxx">'Calcs-1'!$D$11</definedName>
  </definedNames>
  <calcPr calcId="152511"/>
</workbook>
</file>

<file path=xl/calcChain.xml><?xml version="1.0" encoding="utf-8"?>
<calcChain xmlns="http://schemas.openxmlformats.org/spreadsheetml/2006/main">
  <c r="L14" i="4" l="1"/>
  <c r="K14" i="4"/>
  <c r="R5" i="4" l="1"/>
  <c r="D5" i="9"/>
  <c r="C21" i="9" s="1"/>
  <c r="L12" i="4"/>
  <c r="S12" i="4" s="1"/>
  <c r="L13" i="4"/>
  <c r="S13" i="4"/>
  <c r="L6" i="4"/>
  <c r="S6" i="4"/>
  <c r="L7" i="4"/>
  <c r="S7" i="4" s="1"/>
  <c r="L8" i="4"/>
  <c r="S8" i="4" s="1"/>
  <c r="L9" i="4"/>
  <c r="S9" i="4" s="1"/>
  <c r="L10" i="4"/>
  <c r="S10" i="4" s="1"/>
  <c r="L11" i="4"/>
  <c r="S11" i="4" s="1"/>
  <c r="R10" i="4"/>
  <c r="K16" i="4"/>
  <c r="D9" i="9"/>
  <c r="I120" i="9" s="1"/>
  <c r="R9" i="4"/>
  <c r="K15" i="4"/>
  <c r="D8" i="9"/>
  <c r="D15" i="9" s="1"/>
  <c r="R6" i="4"/>
  <c r="D6" i="9"/>
  <c r="H136" i="9" s="1"/>
  <c r="C34" i="9"/>
  <c r="R11" i="4"/>
  <c r="D10" i="9"/>
  <c r="E92" i="9"/>
  <c r="R13" i="4"/>
  <c r="D12" i="9"/>
  <c r="R12" i="4"/>
  <c r="R7" i="9"/>
  <c r="R17" i="9"/>
  <c r="R13" i="9"/>
  <c r="R15" i="9"/>
  <c r="R18" i="9"/>
  <c r="R9" i="9"/>
  <c r="R7" i="4"/>
  <c r="D11" i="9"/>
  <c r="D17" i="9"/>
  <c r="K4" i="9"/>
  <c r="R10" i="9"/>
  <c r="R11" i="9"/>
  <c r="J4" i="9"/>
  <c r="R8" i="4"/>
  <c r="D7" i="9"/>
  <c r="R14" i="9"/>
  <c r="D50" i="9"/>
  <c r="I57" i="9"/>
  <c r="I61" i="9"/>
  <c r="I60" i="9"/>
  <c r="I95" i="9"/>
  <c r="I94" i="9"/>
  <c r="I69" i="9"/>
  <c r="I88" i="9"/>
  <c r="I87" i="9"/>
  <c r="I113" i="9"/>
  <c r="I109" i="9"/>
  <c r="I108" i="9"/>
  <c r="L4" i="4"/>
  <c r="K4" i="4"/>
  <c r="J8" i="9"/>
  <c r="J40" i="9"/>
  <c r="R16" i="4"/>
  <c r="R15" i="4"/>
  <c r="L5" i="4"/>
  <c r="S5" i="4" s="1"/>
  <c r="R14" i="4"/>
  <c r="R19" i="4"/>
  <c r="H145" i="9"/>
  <c r="J6" i="9"/>
  <c r="D16" i="9"/>
  <c r="S14" i="4"/>
  <c r="F22" i="9"/>
  <c r="H131" i="9"/>
  <c r="I130" i="9"/>
  <c r="K37" i="9"/>
  <c r="E53" i="9"/>
  <c r="J41" i="9"/>
  <c r="D53" i="9"/>
  <c r="D57" i="9"/>
  <c r="H58" i="9"/>
  <c r="K31" i="9"/>
  <c r="K32" i="9"/>
  <c r="K34" i="9"/>
  <c r="J31" i="9"/>
  <c r="D96" i="9"/>
  <c r="H99" i="9"/>
  <c r="G96" i="9"/>
  <c r="E35" i="9"/>
  <c r="R93" i="9"/>
  <c r="F35" i="9"/>
  <c r="K40" i="9"/>
  <c r="I99" i="9"/>
  <c r="I115" i="9"/>
  <c r="I71" i="9"/>
  <c r="I101" i="9"/>
  <c r="J37" i="9"/>
  <c r="E57" i="9"/>
  <c r="F23" i="9"/>
  <c r="J38" i="9"/>
  <c r="H71" i="9"/>
  <c r="K16" i="9"/>
  <c r="I79" i="9"/>
  <c r="I72" i="9"/>
  <c r="I102" i="9"/>
  <c r="L16" i="4"/>
  <c r="E22" i="9"/>
  <c r="I80" i="9"/>
  <c r="E23" i="9"/>
  <c r="G107" i="9"/>
  <c r="I105" i="9"/>
  <c r="I84" i="9"/>
  <c r="I89" i="9"/>
  <c r="E37" i="9"/>
  <c r="F37" i="9"/>
  <c r="I56" i="9"/>
  <c r="I98" i="9"/>
  <c r="I76" i="9"/>
  <c r="I68" i="9"/>
  <c r="I83" i="9"/>
  <c r="I112" i="9"/>
  <c r="I62" i="9"/>
  <c r="I54" i="9"/>
  <c r="I96" i="9"/>
  <c r="I66" i="9"/>
  <c r="I81" i="9"/>
  <c r="I110" i="9"/>
  <c r="I63" i="9"/>
  <c r="I55" i="9"/>
  <c r="I97" i="9"/>
  <c r="I75" i="9"/>
  <c r="I67" i="9"/>
  <c r="I82" i="9"/>
  <c r="I111" i="9"/>
  <c r="I74" i="9"/>
  <c r="I58" i="9"/>
  <c r="I100" i="9"/>
  <c r="I92" i="9"/>
  <c r="I70" i="9"/>
  <c r="I85" i="9"/>
  <c r="I114" i="9"/>
  <c r="I106" i="9"/>
  <c r="I73" i="9"/>
  <c r="I53" i="9"/>
  <c r="K8" i="9"/>
  <c r="H73" i="9"/>
  <c r="G67" i="9"/>
  <c r="K38" i="9"/>
  <c r="I121" i="9"/>
  <c r="I107" i="9"/>
  <c r="I86" i="9"/>
  <c r="I93" i="9"/>
  <c r="I59" i="9"/>
  <c r="J42" i="9"/>
  <c r="I138" i="9"/>
  <c r="G56" i="9"/>
  <c r="G98" i="9"/>
  <c r="I126" i="9"/>
  <c r="H137" i="9"/>
  <c r="H108" i="9"/>
  <c r="H60" i="9"/>
  <c r="H98" i="9"/>
  <c r="K19" i="9"/>
  <c r="G57" i="9"/>
  <c r="C37" i="9"/>
  <c r="G108" i="9"/>
  <c r="G59" i="9"/>
  <c r="C25" i="9"/>
  <c r="D92" i="9"/>
  <c r="D49" i="9"/>
  <c r="J32" i="9"/>
  <c r="E96" i="9"/>
  <c r="L15" i="4"/>
  <c r="H127" i="9" l="1"/>
  <c r="H53" i="9"/>
  <c r="G87" i="9"/>
  <c r="E29" i="9"/>
  <c r="H105" i="9"/>
  <c r="J20" i="9"/>
  <c r="J10" i="9"/>
  <c r="E30" i="9" s="1"/>
  <c r="H55" i="9"/>
  <c r="F21" i="9"/>
  <c r="G92" i="9"/>
  <c r="K10" i="9"/>
  <c r="F30" i="9" s="1"/>
  <c r="I124" i="9"/>
  <c r="G86" i="9"/>
  <c r="E25" i="9"/>
  <c r="K14" i="9"/>
  <c r="G68" i="9"/>
  <c r="K36" i="9"/>
  <c r="K9" i="9"/>
  <c r="E28" i="9"/>
  <c r="F33" i="9"/>
  <c r="G85" i="9"/>
  <c r="H69" i="9"/>
  <c r="G112" i="9"/>
  <c r="C23" i="9"/>
  <c r="G110" i="9"/>
  <c r="G95" i="9"/>
  <c r="G99" i="9"/>
  <c r="G54" i="9"/>
  <c r="H122" i="9"/>
  <c r="H84" i="9"/>
  <c r="G88" i="9"/>
  <c r="H80" i="9"/>
  <c r="H56" i="9"/>
  <c r="I132" i="9"/>
  <c r="I127" i="9"/>
  <c r="I140" i="9"/>
  <c r="H149" i="9"/>
  <c r="J27" i="9" s="1"/>
  <c r="I149" i="9"/>
  <c r="K27" i="9" s="1"/>
  <c r="H144" i="9"/>
  <c r="K30" i="9"/>
  <c r="H132" i="9"/>
  <c r="K41" i="9"/>
  <c r="H85" i="9"/>
  <c r="H111" i="9"/>
  <c r="E26" i="9"/>
  <c r="K29" i="9"/>
  <c r="C30" i="9"/>
  <c r="C22" i="9"/>
  <c r="H82" i="9"/>
  <c r="H124" i="9"/>
  <c r="K5" i="9"/>
  <c r="H114" i="9"/>
  <c r="H97" i="9"/>
  <c r="J23" i="9"/>
  <c r="H141" i="9"/>
  <c r="H79" i="9"/>
  <c r="G115" i="9"/>
  <c r="H62" i="9"/>
  <c r="K24" i="9"/>
  <c r="J33" i="9"/>
  <c r="H63" i="9"/>
  <c r="I131" i="9"/>
  <c r="J5" i="9"/>
  <c r="C35" i="9"/>
  <c r="I144" i="9"/>
  <c r="H146" i="9"/>
  <c r="J34" i="9"/>
  <c r="K42" i="9"/>
  <c r="I134" i="9"/>
  <c r="H93" i="9"/>
  <c r="G79" i="9"/>
  <c r="G70" i="9"/>
  <c r="H81" i="9"/>
  <c r="J22" i="9"/>
  <c r="H120" i="9"/>
  <c r="H110" i="9"/>
  <c r="J29" i="9"/>
  <c r="I148" i="9"/>
  <c r="K26" i="9" s="1"/>
  <c r="G93" i="9"/>
  <c r="J24" i="9"/>
  <c r="H113" i="9"/>
  <c r="I125" i="9"/>
  <c r="H102" i="9"/>
  <c r="J17" i="9"/>
  <c r="H59" i="9"/>
  <c r="C29" i="9"/>
  <c r="H125" i="9"/>
  <c r="J21" i="9"/>
  <c r="K35" i="9"/>
  <c r="G75" i="9"/>
  <c r="H54" i="9"/>
  <c r="E33" i="9"/>
  <c r="G69" i="9"/>
  <c r="H130" i="9"/>
  <c r="G102" i="9"/>
  <c r="G61" i="9"/>
  <c r="G114" i="9"/>
  <c r="K17" i="9"/>
  <c r="K33" i="9"/>
  <c r="I136" i="9"/>
  <c r="G66" i="9"/>
  <c r="F28" i="9"/>
  <c r="H106" i="9"/>
  <c r="I145" i="9"/>
  <c r="H67" i="9"/>
  <c r="E21" i="9"/>
  <c r="J19" i="9"/>
  <c r="E31" i="9"/>
  <c r="I141" i="9"/>
  <c r="K23" i="9"/>
  <c r="G84" i="9"/>
  <c r="C24" i="9"/>
  <c r="H101" i="9"/>
  <c r="G76" i="9"/>
  <c r="G53" i="9"/>
  <c r="H70" i="9"/>
  <c r="K21" i="9"/>
  <c r="J12" i="9"/>
  <c r="G105" i="9"/>
  <c r="H109" i="9"/>
  <c r="H139" i="9"/>
  <c r="I146" i="9"/>
  <c r="H100" i="9"/>
  <c r="G60" i="9"/>
  <c r="H83" i="9"/>
  <c r="K20" i="9"/>
  <c r="J35" i="9"/>
  <c r="H142" i="9"/>
  <c r="H66" i="9"/>
  <c r="G113" i="9"/>
  <c r="C27" i="9"/>
  <c r="G73" i="9"/>
  <c r="I139" i="9"/>
  <c r="H75" i="9"/>
  <c r="F29" i="9"/>
  <c r="I133" i="9"/>
  <c r="I123" i="9"/>
  <c r="G74" i="9"/>
  <c r="G111" i="9"/>
  <c r="G83" i="9"/>
  <c r="G63" i="9"/>
  <c r="I129" i="9"/>
  <c r="H147" i="9"/>
  <c r="J13" i="9"/>
  <c r="I147" i="9"/>
  <c r="J36" i="9"/>
  <c r="F26" i="9"/>
  <c r="H115" i="9"/>
  <c r="H148" i="9"/>
  <c r="J26" i="9" s="1"/>
  <c r="G55" i="9"/>
  <c r="F25" i="9"/>
  <c r="H107" i="9"/>
  <c r="C33" i="9"/>
  <c r="J11" i="9"/>
  <c r="G97" i="9"/>
  <c r="G101" i="9"/>
  <c r="H94" i="9"/>
  <c r="G71" i="9"/>
  <c r="G58" i="9"/>
  <c r="H76" i="9"/>
  <c r="K13" i="9"/>
  <c r="G106" i="9"/>
  <c r="H121" i="9"/>
  <c r="I142" i="9"/>
  <c r="K6" i="9"/>
  <c r="R19" i="9"/>
  <c r="G62" i="9"/>
  <c r="G89" i="9"/>
  <c r="I137" i="9"/>
  <c r="G81" i="9"/>
  <c r="H72" i="9"/>
  <c r="H133" i="9"/>
  <c r="H95" i="9"/>
  <c r="K22" i="9"/>
  <c r="G82" i="9"/>
  <c r="H112" i="9"/>
  <c r="H96" i="9"/>
  <c r="H89" i="9"/>
  <c r="H134" i="9"/>
  <c r="J9" i="9"/>
  <c r="H88" i="9"/>
  <c r="H129" i="9"/>
  <c r="G80" i="9"/>
  <c r="H68" i="9"/>
  <c r="I122" i="9"/>
  <c r="J30" i="9"/>
  <c r="G109" i="9"/>
  <c r="G100" i="9"/>
  <c r="H86" i="9"/>
  <c r="H138" i="9"/>
  <c r="J14" i="9"/>
  <c r="H140" i="9"/>
  <c r="E117" i="9"/>
  <c r="E118" i="9" s="1"/>
  <c r="H87" i="9"/>
  <c r="H61" i="9"/>
  <c r="H57" i="9"/>
  <c r="G94" i="9"/>
  <c r="H92" i="9"/>
  <c r="G72" i="9"/>
  <c r="F31" i="9"/>
  <c r="H74" i="9"/>
  <c r="K11" i="9"/>
  <c r="K12" i="9"/>
  <c r="H126" i="9"/>
  <c r="H123" i="9"/>
  <c r="J16" i="9"/>
  <c r="N6" i="9" l="1"/>
  <c r="N5" i="9"/>
  <c r="N7" i="9" s="1"/>
  <c r="R94" i="9"/>
  <c r="E66" i="9"/>
  <c r="E70" i="9" s="1"/>
  <c r="F24" i="9"/>
  <c r="R22" i="9"/>
  <c r="R20" i="9"/>
  <c r="D66" i="9"/>
  <c r="D70" i="9" s="1"/>
  <c r="E24" i="9"/>
  <c r="E79" i="9"/>
  <c r="E83" i="9" s="1"/>
  <c r="F27" i="9"/>
  <c r="E27" i="9"/>
  <c r="D79" i="9"/>
  <c r="D83" i="9" s="1"/>
  <c r="O12" i="9"/>
  <c r="O11" i="9"/>
  <c r="O5" i="9"/>
  <c r="O6" i="9"/>
  <c r="E32" i="9"/>
  <c r="D105" i="9"/>
  <c r="D109" i="9" s="1"/>
  <c r="R24" i="9"/>
  <c r="F32" i="9"/>
  <c r="E105" i="9"/>
  <c r="E109" i="9" s="1"/>
  <c r="E119" i="9"/>
  <c r="E144" i="9"/>
  <c r="E129" i="9"/>
  <c r="O20" i="9" l="1"/>
  <c r="O13" i="9"/>
  <c r="R25" i="9"/>
  <c r="R41" i="9"/>
  <c r="R42" i="9" s="1"/>
  <c r="O19" i="9"/>
  <c r="O17" i="9"/>
  <c r="O18" i="9"/>
  <c r="R29" i="9"/>
  <c r="R30" i="9" s="1"/>
  <c r="R95" i="9"/>
  <c r="E145" i="9"/>
  <c r="E130" i="9"/>
  <c r="O7" i="9"/>
  <c r="N12" i="9" l="1"/>
  <c r="N11" i="9" s="1"/>
  <c r="N17" i="9" s="1"/>
  <c r="E45" i="9"/>
  <c r="E46" i="9"/>
  <c r="R27" i="9"/>
  <c r="R37" i="9" s="1"/>
  <c r="R38" i="9" s="1"/>
  <c r="R50" i="9" s="1"/>
  <c r="R31" i="9"/>
  <c r="R33" i="9" s="1"/>
  <c r="R32" i="9"/>
  <c r="R34" i="9" s="1"/>
  <c r="R99" i="9"/>
  <c r="R98" i="9"/>
  <c r="W26" i="9"/>
  <c r="W29" i="9"/>
  <c r="R51" i="9" l="1"/>
  <c r="R53" i="9"/>
  <c r="R54" i="9" s="1"/>
  <c r="R56" i="9" s="1"/>
  <c r="R47" i="9"/>
  <c r="R89" i="9" s="1"/>
  <c r="R44" i="9"/>
  <c r="R48" i="9"/>
  <c r="R90" i="9" s="1"/>
  <c r="N19" i="9"/>
  <c r="N18" i="9"/>
  <c r="N20" i="9"/>
  <c r="N13" i="9"/>
  <c r="R88" i="9" l="1"/>
  <c r="R45" i="9"/>
  <c r="R58" i="9"/>
  <c r="R59" i="9" l="1"/>
  <c r="R60" i="9" s="1"/>
  <c r="R75" i="9"/>
  <c r="R46" i="9"/>
  <c r="R81" i="9" s="1"/>
  <c r="R87" i="9"/>
  <c r="R63" i="9"/>
  <c r="R69" i="9"/>
  <c r="R82" i="9" l="1"/>
  <c r="R83" i="9" s="1"/>
  <c r="R84" i="9"/>
  <c r="R70" i="9"/>
  <c r="R72" i="9" s="1"/>
  <c r="R64" i="9"/>
  <c r="R65" i="9" s="1"/>
  <c r="R76" i="9"/>
  <c r="R77" i="9" s="1"/>
  <c r="R71" i="9" l="1"/>
  <c r="R78" i="9"/>
  <c r="R66" i="9"/>
</calcChain>
</file>

<file path=xl/sharedStrings.xml><?xml version="1.0" encoding="utf-8"?>
<sst xmlns="http://schemas.openxmlformats.org/spreadsheetml/2006/main" count="372" uniqueCount="208">
  <si>
    <t>Luff Length</t>
  </si>
  <si>
    <t>LP</t>
  </si>
  <si>
    <t>Leech</t>
  </si>
  <si>
    <t>JGL</t>
  </si>
  <si>
    <t>Top Width</t>
  </si>
  <si>
    <t>JH</t>
  </si>
  <si>
    <t>Foot Offset</t>
  </si>
  <si>
    <t>Area - IRC</t>
  </si>
  <si>
    <t>Luff</t>
  </si>
  <si>
    <t>Foot</t>
  </si>
  <si>
    <t>Forestay Angle (FA)</t>
  </si>
  <si>
    <t>Rad</t>
  </si>
  <si>
    <t>JL / LL</t>
  </si>
  <si>
    <t>LPextAngle_d</t>
  </si>
  <si>
    <t>Deg</t>
  </si>
  <si>
    <t>LPG / LP</t>
  </si>
  <si>
    <t>LPextAngle_r</t>
  </si>
  <si>
    <t>JGM / HHW</t>
  </si>
  <si>
    <t>exthyp</t>
  </si>
  <si>
    <t>JGU / HTW</t>
  </si>
  <si>
    <t>extadj</t>
  </si>
  <si>
    <t>JGT / HUW</t>
  </si>
  <si>
    <t>LPext</t>
  </si>
  <si>
    <t>LPextBase</t>
  </si>
  <si>
    <t>Clew Height (CH)</t>
  </si>
  <si>
    <t>BaseforLPx</t>
  </si>
  <si>
    <t>x</t>
  </si>
  <si>
    <t>y</t>
  </si>
  <si>
    <t>Tack</t>
  </si>
  <si>
    <t>Clew</t>
  </si>
  <si>
    <t>LL_Below_LP</t>
  </si>
  <si>
    <t>Head</t>
  </si>
  <si>
    <t>LL_Above_LP</t>
  </si>
  <si>
    <t>Head Angle (HA)</t>
  </si>
  <si>
    <t>HA_r</t>
  </si>
  <si>
    <t>HA_d</t>
  </si>
  <si>
    <t>Tack Angle (TA)</t>
  </si>
  <si>
    <t>TA_r</t>
  </si>
  <si>
    <t>TA_d</t>
  </si>
  <si>
    <t>Half_Leech</t>
  </si>
  <si>
    <t>Qtr_Leech</t>
  </si>
  <si>
    <t>Eight_Leech</t>
  </si>
  <si>
    <t>ThreeQtr_Leech_Distance</t>
  </si>
  <si>
    <t>SevenEight_Leech_Distance</t>
  </si>
  <si>
    <t>Widths</t>
  </si>
  <si>
    <t>ExtLeechAngleatBase_d</t>
  </si>
  <si>
    <t>ExtLeechAngleatBase_r</t>
  </si>
  <si>
    <t>ExtLeech</t>
  </si>
  <si>
    <t>ExtLeechBase</t>
  </si>
  <si>
    <t>ExtLeechatBasex</t>
  </si>
  <si>
    <t>1/4 Leech Point</t>
  </si>
  <si>
    <t>HLWextLeech</t>
  </si>
  <si>
    <t>BaseforHLWx</t>
  </si>
  <si>
    <t>HLWLeechPointy</t>
  </si>
  <si>
    <t>HLWLeechPointx</t>
  </si>
  <si>
    <t>1/2 LeechPoint x,y</t>
  </si>
  <si>
    <t>HHWextLeech</t>
  </si>
  <si>
    <t>Axes</t>
  </si>
  <si>
    <t>BaseforHHWx</t>
  </si>
  <si>
    <t>Max</t>
  </si>
  <si>
    <t>HHWLeechPointy</t>
  </si>
  <si>
    <t>Min</t>
  </si>
  <si>
    <t>HHWLeechPointx</t>
  </si>
  <si>
    <t>3/4 LeechPoint x,y</t>
  </si>
  <si>
    <t>HTWextLeech</t>
  </si>
  <si>
    <t>BaseforHTWx</t>
  </si>
  <si>
    <t>HTWLeechPointy</t>
  </si>
  <si>
    <t>HTWLeechPointx</t>
  </si>
  <si>
    <t>7/8 LeechPoint x,y</t>
  </si>
  <si>
    <t>HUWextLeech</t>
  </si>
  <si>
    <t>BaseforHUWx</t>
  </si>
  <si>
    <t>HUWLeechPointy</t>
  </si>
  <si>
    <t>HUWLeechPointx</t>
  </si>
  <si>
    <t>Headx,y</t>
  </si>
  <si>
    <t>HLWaboveLP</t>
  </si>
  <si>
    <t>HHWaboveLP</t>
  </si>
  <si>
    <t>HTWaboveLP</t>
  </si>
  <si>
    <t>HUWaboveLP</t>
  </si>
  <si>
    <t>Foot Round</t>
  </si>
  <si>
    <t>FootOffset</t>
  </si>
  <si>
    <t>Foot_Length</t>
  </si>
  <si>
    <t>Foot_Mid_Distance</t>
  </si>
  <si>
    <t>FootMidx,y</t>
  </si>
  <si>
    <t>FootMidy</t>
  </si>
  <si>
    <t>FootMidx</t>
  </si>
  <si>
    <t>Feet</t>
  </si>
  <si>
    <t>Tack x Input</t>
  </si>
  <si>
    <t>Tack y Input</t>
  </si>
  <si>
    <t>Clew Height Input</t>
  </si>
  <si>
    <t>Neg</t>
  </si>
  <si>
    <t>Data</t>
  </si>
  <si>
    <t>Range</t>
  </si>
  <si>
    <t>Dummy Series</t>
  </si>
  <si>
    <t>7/8 Wid</t>
  </si>
  <si>
    <t>3/4 Wid</t>
  </si>
  <si>
    <t>Hor</t>
  </si>
  <si>
    <t>Vert</t>
  </si>
  <si>
    <t>Qtr Wid</t>
  </si>
  <si>
    <t>Half Wid</t>
  </si>
  <si>
    <t>Aft</t>
  </si>
  <si>
    <t>Fore</t>
  </si>
  <si>
    <t>INPUTS</t>
  </si>
  <si>
    <t>* See CALC if 0.00</t>
  </si>
  <si>
    <t>CALC Values</t>
  </si>
  <si>
    <t>HEADSAIL - 1</t>
  </si>
  <si>
    <t>HEADSAIL - 1 CALCS</t>
  </si>
  <si>
    <t>Sail shape is approximate.</t>
  </si>
  <si>
    <t>Boat Name:</t>
  </si>
  <si>
    <t>Sail No.:</t>
  </si>
  <si>
    <t>Class/Model:</t>
  </si>
  <si>
    <t>Owner:</t>
  </si>
  <si>
    <t>Sail Desc.:</t>
  </si>
  <si>
    <t>Sail ID No.:</t>
  </si>
  <si>
    <t>Labels</t>
  </si>
  <si>
    <t>Label Offset</t>
  </si>
  <si>
    <t>Arcs</t>
  </si>
  <si>
    <t>Radius</t>
  </si>
  <si>
    <t>7/8 Arc</t>
  </si>
  <si>
    <t>Valx</t>
  </si>
  <si>
    <t>Valy</t>
  </si>
  <si>
    <t>Arc</t>
  </si>
  <si>
    <t>x5</t>
  </si>
  <si>
    <t>x4</t>
  </si>
  <si>
    <t>x3</t>
  </si>
  <si>
    <t>x2</t>
  </si>
  <si>
    <t>x1</t>
  </si>
  <si>
    <t>x0</t>
  </si>
  <si>
    <t>3/4 Arc</t>
  </si>
  <si>
    <t>1/2 Arc</t>
  </si>
  <si>
    <t>1/4 Arc</t>
  </si>
  <si>
    <t>Tick Offset</t>
  </si>
  <si>
    <t>Tick Length</t>
  </si>
  <si>
    <t>Top</t>
  </si>
  <si>
    <t>Bottom</t>
  </si>
  <si>
    <t>Right End</t>
  </si>
  <si>
    <t>Left End</t>
  </si>
  <si>
    <t>TW Left</t>
  </si>
  <si>
    <t>TW Right</t>
  </si>
  <si>
    <t>TW Right Arrow</t>
  </si>
  <si>
    <t>TW Left Arrow</t>
  </si>
  <si>
    <t>Base Angle</t>
  </si>
  <si>
    <t>Angle Step</t>
  </si>
  <si>
    <t>Radx</t>
  </si>
  <si>
    <t>Rady</t>
  </si>
  <si>
    <t>angle</t>
  </si>
  <si>
    <t>Forestay Angle (FA) + 90</t>
  </si>
  <si>
    <t>Top Tick Left</t>
  </si>
  <si>
    <t>Top Tick Right</t>
  </si>
  <si>
    <t>Bot Tick Left</t>
  </si>
  <si>
    <t>Bot Tick Right</t>
  </si>
  <si>
    <t>LL Dim Top</t>
  </si>
  <si>
    <t>LL Dim Bot</t>
  </si>
  <si>
    <t>Arrow Length</t>
  </si>
  <si>
    <t>Clew Angle</t>
  </si>
  <si>
    <t>Foot Mid</t>
  </si>
  <si>
    <t>Clew Angle Perp Pos</t>
  </si>
  <si>
    <t>Clew Angle Perp Neg</t>
  </si>
  <si>
    <t>Edge Mid</t>
  </si>
  <si>
    <t>Top Arrow Top</t>
  </si>
  <si>
    <t>Bot Arrow Top</t>
  </si>
  <si>
    <t>Bot Arrow Bot</t>
  </si>
  <si>
    <t>Top Arrow Bot</t>
  </si>
  <si>
    <t>LP Mid</t>
  </si>
  <si>
    <t>1/4 Mid</t>
  </si>
  <si>
    <t>1/2 Mid</t>
  </si>
  <si>
    <t>Area calculated when all required dimensions provided.</t>
  </si>
  <si>
    <t>Sail plotted below from input data.</t>
  </si>
  <si>
    <t>1/2 Lab@mid</t>
  </si>
  <si>
    <t>1/2 Lab@lch</t>
  </si>
  <si>
    <t>Ratio for 1/2 Label</t>
  </si>
  <si>
    <t>3/4 Mid</t>
  </si>
  <si>
    <t>3/4 Lab@mid</t>
  </si>
  <si>
    <t>3/4 Lab@lch</t>
  </si>
  <si>
    <t>Ratio for 3/4 Label</t>
  </si>
  <si>
    <t>Leech Length</t>
  </si>
  <si>
    <t>Length</t>
  </si>
  <si>
    <t>Leech - Calculated</t>
  </si>
  <si>
    <t>Supplementay Leech Angle_d</t>
  </si>
  <si>
    <t>Supplementay Leech Angle_r</t>
  </si>
  <si>
    <t>Supplementay Leech Angle_Per_r</t>
  </si>
  <si>
    <t>JLE Dim Top</t>
  </si>
  <si>
    <t>JLE Dim Bot</t>
  </si>
  <si>
    <t>Measurer Name:</t>
  </si>
  <si>
    <t>Date:</t>
  </si>
  <si>
    <t>Signature:</t>
  </si>
  <si>
    <t>Loft:</t>
  </si>
  <si>
    <t>HLU</t>
  </si>
  <si>
    <t>HLP</t>
  </si>
  <si>
    <t>HHB</t>
  </si>
  <si>
    <t>HUW</t>
  </si>
  <si>
    <t>Upper Width (7/8)</t>
  </si>
  <si>
    <t xml:space="preserve">Half Width (1/2) </t>
  </si>
  <si>
    <t>Quarter Width (1/4)</t>
  </si>
  <si>
    <t>Three Quarter Width (3/4)</t>
  </si>
  <si>
    <t>HTW</t>
  </si>
  <si>
    <t>HQW</t>
  </si>
  <si>
    <t>HHW</t>
  </si>
  <si>
    <t>Area - ORC</t>
  </si>
  <si>
    <t>HLE</t>
  </si>
  <si>
    <t>Area - ORR &amp; EZ</t>
  </si>
  <si>
    <t>Head Width</t>
  </si>
  <si>
    <t>Longest Perpendicular</t>
  </si>
  <si>
    <r>
      <t>Foot Offset</t>
    </r>
    <r>
      <rPr>
        <sz val="9"/>
        <color rgb="FFC00000"/>
        <rFont val="Arial"/>
        <family val="2"/>
      </rPr>
      <t xml:space="preserve"> (not used)</t>
    </r>
  </si>
  <si>
    <t>Data Entry Units:</t>
  </si>
  <si>
    <t>Meters</t>
  </si>
  <si>
    <t>Headsail Measurement Form</t>
  </si>
  <si>
    <t>Ver: 2025.01</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</si>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</sst>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000"/>
    <numFmt numFmtId="167" formatCode="0.000000"/>
    <numFmt numFmtId="168" formatCode="0.00000000"/>
  </numFmts>
  <fonts count="61">
    <font>
      <sz val="9"/>
      <color theme="1"/>
      <name val="Arial"/>
      <family val="2"/>
    </font>
    <font>
      <sz val="9"/>
      <color indexed="8"/>
      <name val="Arial"/>
      <family val="2"/>
    </font>
    <font>
      <sz val="10"/>
      <name val="Arial"/>
      <family val="2"/>
    </font>
    <font>
      <b/>
      <sz val="14"/>
      <color indexed="8"/>
      <name val="Arial"/>
      <family val="2"/>
    </font>
    <font>
      <sz val="8"/>
      <name val="Arial"/>
      <family val="2"/>
    </font>
    <font>
      <sz val="9"/>
      <name val="Arial"/>
      <family val="2"/>
    </font>
    <font>
      <b/>
      <sz val="9"/>
      <color indexed="8"/>
      <name val="Arial"/>
      <family val="2"/>
    </font>
    <font>
      <b/>
      <sz val="9"/>
      <name val="Arial"/>
      <family val="2"/>
    </font>
    <font>
      <sz val="9"/>
      <color indexed="22"/>
      <name val="Arial"/>
      <family val="2"/>
    </font>
    <font>
      <b/>
      <sz val="8"/>
      <name val="Arial"/>
      <family val="2"/>
    </font>
    <font>
      <b/>
      <u/>
      <sz val="14"/>
      <color indexed="8"/>
      <name val="Tahoma"/>
      <family val="2"/>
    </font>
    <font>
      <b/>
      <sz val="12"/>
      <color indexed="8"/>
      <name val="Tahoma"/>
      <family val="2"/>
    </font>
    <font>
      <b/>
      <sz val="12"/>
      <name val="Arial"/>
      <family val="2"/>
    </font>
    <font>
      <b/>
      <sz val="10"/>
      <name val="Arial"/>
      <family val="2"/>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62"/>
      <name val="Cambria"/>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9"/>
      <color indexed="8"/>
      <name val="Arial"/>
      <family val="2"/>
    </font>
    <font>
      <b/>
      <u/>
      <sz val="10"/>
      <name val="Arial"/>
      <family val="2"/>
    </font>
    <font>
      <b/>
      <u/>
      <sz val="9"/>
      <name val="Arial"/>
      <family val="2"/>
    </font>
    <font>
      <sz val="9"/>
      <color theme="1"/>
      <name val="Arial"/>
      <family val="2"/>
    </font>
    <font>
      <b/>
      <sz val="9"/>
      <color theme="0"/>
      <name val="Arial"/>
      <family val="2"/>
    </font>
    <font>
      <u/>
      <sz val="9"/>
      <color theme="10"/>
      <name val="Arial"/>
      <family val="2"/>
    </font>
    <font>
      <b/>
      <sz val="9"/>
      <color theme="1"/>
      <name val="Arial"/>
      <family val="2"/>
    </font>
    <font>
      <sz val="9"/>
      <color rgb="FFFF0000"/>
      <name val="Arial"/>
      <family val="2"/>
    </font>
    <font>
      <b/>
      <sz val="9"/>
      <color rgb="FFFF0000"/>
      <name val="Arial"/>
      <family val="2"/>
    </font>
    <font>
      <b/>
      <sz val="10"/>
      <color theme="1"/>
      <name val="Arial"/>
      <family val="2"/>
    </font>
    <font>
      <sz val="10"/>
      <color theme="1"/>
      <name val="Arial"/>
      <family val="2"/>
    </font>
    <font>
      <sz val="8"/>
      <color rgb="FFFF0000"/>
      <name val="Arial"/>
      <family val="2"/>
    </font>
    <font>
      <i/>
      <sz val="9"/>
      <color indexed="8"/>
      <name val="Arial"/>
      <family val="2"/>
    </font>
    <font>
      <i/>
      <sz val="9"/>
      <color theme="1"/>
      <name val="Arial"/>
      <family val="2"/>
    </font>
    <font>
      <sz val="9"/>
      <color rgb="FFC00000"/>
      <name val="Arial"/>
      <family val="2"/>
    </font>
    <font>
      <i/>
      <sz val="9"/>
      <name val="Arial"/>
      <family val="2"/>
    </font>
  </fonts>
  <fills count="27">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10"/>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diagonal/>
    </border>
    <border>
      <left style="thin">
        <color indexed="64"/>
      </left>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top/>
      <bottom/>
      <diagonal/>
    </border>
    <border>
      <left style="thin">
        <color indexed="64"/>
      </left>
      <right style="thin">
        <color theme="0"/>
      </right>
      <top style="thin">
        <color theme="0"/>
      </top>
      <bottom/>
      <diagonal/>
    </border>
    <border>
      <left style="thin">
        <color indexed="64"/>
      </left>
      <right/>
      <top/>
      <bottom style="thin">
        <color theme="0"/>
      </bottom>
      <diagonal/>
    </border>
    <border>
      <left style="thin">
        <color theme="0"/>
      </left>
      <right/>
      <top/>
      <bottom style="thin">
        <color theme="0"/>
      </bottom>
      <diagonal/>
    </border>
    <border>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86">
    <xf numFmtId="0" fontId="0"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4" fillId="4"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8" borderId="0" applyNumberFormat="0" applyBorder="0" applyAlignment="0" applyProtection="0"/>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6" fillId="4"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8" fillId="4" borderId="0" applyNumberFormat="0" applyBorder="0" applyAlignment="0" applyProtection="0"/>
    <xf numFmtId="0" fontId="19" fillId="14" borderId="1" applyNumberFormat="0" applyAlignment="0" applyProtection="0"/>
    <xf numFmtId="0" fontId="20" fillId="15"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6" fillId="1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7"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23" fillId="10" borderId="1" applyNumberFormat="0" applyAlignment="0" applyProtection="0"/>
    <xf numFmtId="0" fontId="50" fillId="0" borderId="0" applyNumberFormat="0" applyFill="0" applyBorder="0" applyAlignment="0" applyProtection="0"/>
    <xf numFmtId="0" fontId="24" fillId="3" borderId="0" applyNumberFormat="0" applyBorder="0" applyAlignment="0" applyProtection="0"/>
    <xf numFmtId="0" fontId="2" fillId="0" borderId="0"/>
    <xf numFmtId="0" fontId="48" fillId="0" borderId="0"/>
    <xf numFmtId="0" fontId="2" fillId="0" borderId="0"/>
    <xf numFmtId="0" fontId="2" fillId="8" borderId="4" applyNumberFormat="0" applyFont="0" applyAlignment="0" applyProtection="0"/>
    <xf numFmtId="0" fontId="25" fillId="14" borderId="5" applyNumberFormat="0" applyAlignment="0" applyProtection="0"/>
    <xf numFmtId="0" fontId="21"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22" fillId="0" borderId="8" applyNumberFormat="0" applyFill="0" applyAlignment="0" applyProtection="0"/>
    <xf numFmtId="0" fontId="30" fillId="0" borderId="0" applyNumberFormat="0" applyFill="0" applyBorder="0" applyAlignment="0" applyProtection="0"/>
    <xf numFmtId="0" fontId="17" fillId="16"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31" fillId="0" borderId="0" applyNumberFormat="0" applyFill="0" applyBorder="0" applyAlignment="0" applyProtection="0">
      <alignment vertical="center"/>
    </xf>
    <xf numFmtId="0" fontId="32" fillId="15" borderId="2" applyNumberFormat="0" applyAlignment="0" applyProtection="0">
      <alignment vertical="center"/>
    </xf>
    <xf numFmtId="0" fontId="33" fillId="10" borderId="0" applyNumberFormat="0" applyBorder="0" applyAlignment="0" applyProtection="0">
      <alignment vertical="center"/>
    </xf>
    <xf numFmtId="0" fontId="2" fillId="8" borderId="4" applyNumberFormat="0" applyFont="0" applyAlignment="0" applyProtection="0">
      <alignment vertical="center"/>
    </xf>
    <xf numFmtId="0" fontId="34" fillId="0" borderId="3" applyNumberFormat="0" applyFill="0" applyAlignment="0" applyProtection="0">
      <alignment vertical="center"/>
    </xf>
    <xf numFmtId="0" fontId="35" fillId="10" borderId="1" applyNumberFormat="0" applyAlignment="0" applyProtection="0">
      <alignment vertical="center"/>
    </xf>
    <xf numFmtId="0" fontId="36" fillId="14" borderId="5" applyNumberFormat="0" applyAlignment="0" applyProtection="0">
      <alignment vertical="center"/>
    </xf>
    <xf numFmtId="0" fontId="37" fillId="3" borderId="0" applyNumberFormat="0" applyBorder="0" applyAlignment="0" applyProtection="0">
      <alignment vertical="center"/>
    </xf>
    <xf numFmtId="0" fontId="38" fillId="4" borderId="0" applyNumberFormat="0" applyBorder="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1" fillId="0" borderId="8" applyNumberFormat="0" applyFill="0" applyAlignment="0" applyProtection="0">
      <alignment vertical="center"/>
    </xf>
    <xf numFmtId="0" fontId="41" fillId="0" borderId="0" applyNumberFormat="0" applyFill="0" applyBorder="0" applyAlignment="0" applyProtection="0">
      <alignment vertical="center"/>
    </xf>
    <xf numFmtId="0" fontId="42" fillId="14" borderId="1" applyNumberFormat="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9" applyNumberFormat="0" applyFill="0" applyAlignment="0" applyProtection="0">
      <alignment vertical="center"/>
    </xf>
  </cellStyleXfs>
  <cellXfs count="318">
    <xf numFmtId="0" fontId="0" fillId="0" borderId="0" xfId="0"/>
    <xf numFmtId="0" fontId="5" fillId="0" borderId="0" xfId="51" applyFont="1" applyAlignment="1" applyProtection="1">
      <alignment horizontal="left"/>
    </xf>
    <xf numFmtId="0" fontId="7" fillId="0" borderId="0" xfId="51" applyFont="1" applyAlignment="1" applyProtection="1">
      <alignment horizontal="left"/>
    </xf>
    <xf numFmtId="0" fontId="2" fillId="0" borderId="22" xfId="51" applyFont="1" applyFill="1" applyBorder="1" applyAlignment="1" applyProtection="1">
      <alignment horizontal="center"/>
    </xf>
    <xf numFmtId="0" fontId="13" fillId="0" borderId="10" xfId="51" applyFont="1" applyFill="1" applyBorder="1" applyAlignment="1" applyProtection="1">
      <alignment horizontal="center"/>
    </xf>
    <xf numFmtId="0" fontId="13" fillId="0" borderId="22" xfId="51" applyFont="1" applyFill="1" applyBorder="1" applyAlignment="1" applyProtection="1">
      <alignment horizontal="center"/>
    </xf>
    <xf numFmtId="0" fontId="2" fillId="0" borderId="22" xfId="51" applyFont="1" applyBorder="1"/>
    <xf numFmtId="0" fontId="2" fillId="0" borderId="23" xfId="51" applyFont="1" applyBorder="1"/>
    <xf numFmtId="0" fontId="2" fillId="0" borderId="24" xfId="51" applyFont="1" applyBorder="1"/>
    <xf numFmtId="0" fontId="2" fillId="0" borderId="25" xfId="51" applyFont="1" applyBorder="1"/>
    <xf numFmtId="0" fontId="2" fillId="18" borderId="0" xfId="51" applyFont="1" applyFill="1" applyBorder="1" applyAlignment="1" applyProtection="1">
      <alignment horizontal="center"/>
    </xf>
    <xf numFmtId="0" fontId="13" fillId="18" borderId="22" xfId="51" applyFont="1" applyFill="1" applyBorder="1" applyAlignment="1" applyProtection="1">
      <alignment horizontal="center"/>
    </xf>
    <xf numFmtId="0" fontId="2" fillId="0" borderId="26" xfId="51" applyFont="1" applyBorder="1"/>
    <xf numFmtId="2" fontId="13" fillId="18" borderId="22" xfId="51" applyNumberFormat="1" applyFont="1" applyFill="1" applyBorder="1" applyAlignment="1" applyProtection="1">
      <alignment horizontal="center"/>
    </xf>
    <xf numFmtId="0" fontId="2" fillId="0" borderId="27" xfId="51" applyFont="1" applyBorder="1"/>
    <xf numFmtId="0" fontId="2" fillId="18" borderId="22" xfId="51" applyFont="1" applyFill="1" applyBorder="1" applyAlignment="1" applyProtection="1">
      <alignment horizontal="center"/>
    </xf>
    <xf numFmtId="0" fontId="2" fillId="0" borderId="28" xfId="51" applyFont="1" applyBorder="1"/>
    <xf numFmtId="2" fontId="13" fillId="0" borderId="22" xfId="51" applyNumberFormat="1" applyFont="1" applyFill="1" applyBorder="1" applyAlignment="1" applyProtection="1">
      <alignment horizontal="center"/>
    </xf>
    <xf numFmtId="0" fontId="2" fillId="0" borderId="22" xfId="51" applyFont="1" applyBorder="1" applyAlignment="1">
      <alignment horizontal="center"/>
    </xf>
    <xf numFmtId="2" fontId="2" fillId="18" borderId="22" xfId="51" applyNumberFormat="1" applyFont="1" applyFill="1" applyBorder="1" applyAlignment="1" applyProtection="1">
      <alignment horizontal="center"/>
    </xf>
    <xf numFmtId="2" fontId="2" fillId="0" borderId="25" xfId="51" quotePrefix="1" applyNumberFormat="1" applyFont="1" applyBorder="1"/>
    <xf numFmtId="2" fontId="2" fillId="0" borderId="22" xfId="51" applyNumberFormat="1" applyFont="1" applyFill="1" applyBorder="1" applyAlignment="1" applyProtection="1">
      <alignment horizontal="center"/>
    </xf>
    <xf numFmtId="2" fontId="13" fillId="18" borderId="0" xfId="51" applyNumberFormat="1" applyFont="1" applyFill="1" applyBorder="1" applyAlignment="1" applyProtection="1">
      <alignment horizontal="right"/>
    </xf>
    <xf numFmtId="0" fontId="13" fillId="0" borderId="22" xfId="51" applyFont="1" applyFill="1" applyBorder="1" applyAlignment="1" applyProtection="1">
      <alignment horizontal="left"/>
    </xf>
    <xf numFmtId="2" fontId="13" fillId="0" borderId="22" xfId="51" applyNumberFormat="1" applyFont="1" applyFill="1" applyBorder="1" applyAlignment="1" applyProtection="1">
      <alignment horizontal="right"/>
      <protection locked="0"/>
    </xf>
    <xf numFmtId="0" fontId="13" fillId="0" borderId="22" xfId="51" applyFont="1" applyFill="1" applyBorder="1" applyAlignment="1" applyProtection="1">
      <alignment horizontal="right"/>
    </xf>
    <xf numFmtId="2" fontId="13" fillId="0" borderId="22" xfId="51" applyNumberFormat="1" applyFont="1" applyFill="1" applyBorder="1" applyAlignment="1" applyProtection="1">
      <alignment horizontal="right"/>
    </xf>
    <xf numFmtId="2" fontId="13" fillId="0" borderId="22" xfId="51" quotePrefix="1" applyNumberFormat="1" applyFont="1" applyFill="1" applyBorder="1" applyAlignment="1" applyProtection="1">
      <alignment horizontal="right"/>
    </xf>
    <xf numFmtId="2" fontId="13" fillId="18" borderId="0" xfId="51" applyNumberFormat="1" applyFont="1" applyFill="1" applyBorder="1" applyAlignment="1" applyProtection="1">
      <alignment horizontal="center"/>
    </xf>
    <xf numFmtId="0" fontId="13" fillId="0" borderId="22" xfId="51" quotePrefix="1" applyFont="1" applyFill="1" applyBorder="1" applyAlignment="1" applyProtection="1">
      <alignment horizontal="center"/>
    </xf>
    <xf numFmtId="2" fontId="2" fillId="0" borderId="22" xfId="51" applyNumberFormat="1" applyFont="1" applyFill="1" applyBorder="1" applyAlignment="1" applyProtection="1">
      <alignment horizontal="center" vertical="center"/>
    </xf>
    <xf numFmtId="2" fontId="13" fillId="0" borderId="22" xfId="51" quotePrefix="1" applyNumberFormat="1" applyFont="1" applyFill="1" applyBorder="1" applyAlignment="1" applyProtection="1">
      <alignment horizontal="center"/>
    </xf>
    <xf numFmtId="2" fontId="13" fillId="0" borderId="22" xfId="51" applyNumberFormat="1" applyFont="1" applyFill="1" applyBorder="1" applyAlignment="1" applyProtection="1">
      <alignment horizontal="left"/>
    </xf>
    <xf numFmtId="2" fontId="13" fillId="0" borderId="23" xfId="51" applyNumberFormat="1" applyFont="1" applyFill="1" applyBorder="1" applyAlignment="1" applyProtection="1">
      <alignment horizontal="right"/>
    </xf>
    <xf numFmtId="2" fontId="46" fillId="0" borderId="22" xfId="51" applyNumberFormat="1" applyFont="1" applyFill="1" applyBorder="1" applyAlignment="1" applyProtection="1">
      <alignment horizontal="left"/>
    </xf>
    <xf numFmtId="2" fontId="13" fillId="0" borderId="10" xfId="51" applyNumberFormat="1" applyFont="1" applyFill="1" applyBorder="1" applyAlignment="1" applyProtection="1">
      <alignment horizontal="center"/>
    </xf>
    <xf numFmtId="0" fontId="13" fillId="0" borderId="29" xfId="51" applyFont="1" applyBorder="1"/>
    <xf numFmtId="0" fontId="2" fillId="0" borderId="30" xfId="51" applyFont="1" applyBorder="1"/>
    <xf numFmtId="0" fontId="2" fillId="0" borderId="31" xfId="51" applyFont="1" applyBorder="1"/>
    <xf numFmtId="0" fontId="2" fillId="0" borderId="32" xfId="51" applyFont="1" applyBorder="1"/>
    <xf numFmtId="0" fontId="13" fillId="18" borderId="33" xfId="51" applyFont="1" applyFill="1" applyBorder="1" applyAlignment="1" applyProtection="1">
      <alignment horizontal="center"/>
    </xf>
    <xf numFmtId="2" fontId="13" fillId="18" borderId="33" xfId="51" applyNumberFormat="1" applyFont="1" applyFill="1" applyBorder="1" applyAlignment="1" applyProtection="1">
      <alignment horizontal="center"/>
    </xf>
    <xf numFmtId="0" fontId="2" fillId="0" borderId="33" xfId="51" applyFont="1" applyBorder="1"/>
    <xf numFmtId="0" fontId="2" fillId="0" borderId="34" xfId="51" applyFont="1" applyBorder="1"/>
    <xf numFmtId="0" fontId="2" fillId="0" borderId="35" xfId="51" applyFont="1" applyBorder="1"/>
    <xf numFmtId="0" fontId="13" fillId="0" borderId="36" xfId="51" applyFont="1" applyFill="1" applyBorder="1" applyAlignment="1"/>
    <xf numFmtId="0" fontId="2" fillId="0" borderId="37" xfId="51" applyFont="1" applyBorder="1"/>
    <xf numFmtId="0" fontId="2" fillId="0" borderId="38" xfId="51" applyFont="1" applyBorder="1"/>
    <xf numFmtId="0" fontId="2" fillId="0" borderId="32" xfId="51" applyFont="1" applyFill="1" applyBorder="1" applyAlignment="1" applyProtection="1">
      <alignment horizontal="center"/>
    </xf>
    <xf numFmtId="2" fontId="2" fillId="0" borderId="32" xfId="51" applyNumberFormat="1" applyFont="1" applyFill="1" applyBorder="1" applyAlignment="1" applyProtection="1">
      <alignment horizontal="center"/>
    </xf>
    <xf numFmtId="0" fontId="13" fillId="0" borderId="32" xfId="51" applyFont="1" applyFill="1" applyBorder="1" applyAlignment="1" applyProtection="1">
      <alignment horizontal="center"/>
    </xf>
    <xf numFmtId="2" fontId="13" fillId="0" borderId="32" xfId="51" applyNumberFormat="1" applyFont="1" applyFill="1" applyBorder="1" applyAlignment="1" applyProtection="1">
      <alignment horizontal="center"/>
    </xf>
    <xf numFmtId="0" fontId="13" fillId="0" borderId="32" xfId="51" quotePrefix="1" applyFont="1" applyFill="1" applyBorder="1" applyAlignment="1" applyProtection="1">
      <alignment horizontal="center"/>
    </xf>
    <xf numFmtId="0" fontId="2" fillId="0" borderId="33" xfId="51" applyFont="1" applyFill="1" applyBorder="1" applyAlignment="1" applyProtection="1">
      <alignment horizontal="center"/>
    </xf>
    <xf numFmtId="2" fontId="13" fillId="0" borderId="34" xfId="51" applyNumberFormat="1" applyFont="1" applyFill="1" applyBorder="1" applyAlignment="1" applyProtection="1">
      <alignment horizontal="center"/>
    </xf>
    <xf numFmtId="0" fontId="13" fillId="0" borderId="35" xfId="51" applyFont="1" applyFill="1" applyBorder="1" applyAlignment="1" applyProtection="1">
      <alignment horizontal="center"/>
    </xf>
    <xf numFmtId="2" fontId="13" fillId="0" borderId="35" xfId="51" applyNumberFormat="1" applyFont="1" applyFill="1" applyBorder="1" applyAlignment="1" applyProtection="1">
      <alignment horizontal="center"/>
    </xf>
    <xf numFmtId="2" fontId="13" fillId="18" borderId="35" xfId="51" applyNumberFormat="1" applyFont="1" applyFill="1" applyBorder="1" applyAlignment="1" applyProtection="1">
      <alignment horizontal="center"/>
    </xf>
    <xf numFmtId="0" fontId="13" fillId="0" borderId="26" xfId="51" applyFont="1" applyBorder="1" applyAlignment="1">
      <alignment horizontal="center"/>
    </xf>
    <xf numFmtId="0" fontId="2" fillId="0" borderId="39" xfId="51" applyFont="1" applyBorder="1"/>
    <xf numFmtId="0" fontId="2" fillId="0" borderId="29" xfId="51" applyFont="1" applyBorder="1"/>
    <xf numFmtId="0" fontId="13" fillId="18" borderId="11" xfId="51" applyFont="1" applyFill="1" applyBorder="1" applyAlignment="1" applyProtection="1">
      <alignment horizontal="left"/>
    </xf>
    <xf numFmtId="0" fontId="2" fillId="18" borderId="12" xfId="51" applyFont="1" applyFill="1" applyBorder="1" applyAlignment="1" applyProtection="1">
      <alignment horizontal="center"/>
    </xf>
    <xf numFmtId="0" fontId="2" fillId="18" borderId="13" xfId="51" applyFont="1" applyFill="1" applyBorder="1" applyAlignment="1" applyProtection="1">
      <alignment horizontal="center"/>
    </xf>
    <xf numFmtId="0" fontId="13" fillId="18" borderId="14" xfId="51" applyFont="1" applyFill="1" applyBorder="1" applyAlignment="1" applyProtection="1">
      <alignment horizontal="left"/>
    </xf>
    <xf numFmtId="0" fontId="2" fillId="18" borderId="15" xfId="51" applyFont="1" applyFill="1" applyBorder="1" applyAlignment="1" applyProtection="1">
      <alignment horizontal="center"/>
    </xf>
    <xf numFmtId="0" fontId="13" fillId="0" borderId="32" xfId="51" applyFont="1" applyFill="1" applyBorder="1" applyAlignment="1" applyProtection="1">
      <alignment horizontal="left"/>
    </xf>
    <xf numFmtId="2" fontId="13" fillId="18" borderId="14" xfId="51" applyNumberFormat="1" applyFont="1" applyFill="1" applyBorder="1" applyAlignment="1" applyProtection="1">
      <alignment horizontal="center"/>
    </xf>
    <xf numFmtId="0" fontId="46" fillId="0" borderId="32" xfId="51" applyFont="1" applyFill="1" applyBorder="1" applyAlignment="1" applyProtection="1">
      <alignment horizontal="left"/>
    </xf>
    <xf numFmtId="2" fontId="13" fillId="0" borderId="32" xfId="51" applyNumberFormat="1" applyFont="1" applyFill="1" applyBorder="1" applyAlignment="1" applyProtection="1">
      <alignment horizontal="left"/>
    </xf>
    <xf numFmtId="0" fontId="13" fillId="0" borderId="40" xfId="51" quotePrefix="1" applyFont="1" applyFill="1" applyBorder="1" applyAlignment="1" applyProtection="1">
      <alignment horizontal="left"/>
    </xf>
    <xf numFmtId="2" fontId="46" fillId="0" borderId="32" xfId="51" applyNumberFormat="1" applyFont="1" applyFill="1" applyBorder="1" applyAlignment="1" applyProtection="1">
      <alignment horizontal="left"/>
    </xf>
    <xf numFmtId="0" fontId="13" fillId="18" borderId="15" xfId="51" applyFont="1" applyFill="1" applyBorder="1" applyAlignment="1" applyProtection="1">
      <alignment horizontal="center"/>
    </xf>
    <xf numFmtId="2" fontId="13" fillId="0" borderId="34" xfId="51" applyNumberFormat="1" applyFont="1" applyFill="1" applyBorder="1" applyAlignment="1" applyProtection="1">
      <alignment horizontal="left"/>
    </xf>
    <xf numFmtId="2" fontId="13" fillId="0" borderId="35" xfId="51" applyNumberFormat="1" applyFont="1" applyFill="1" applyBorder="1" applyAlignment="1" applyProtection="1">
      <alignment horizontal="right"/>
    </xf>
    <xf numFmtId="0" fontId="2" fillId="0" borderId="23" xfId="51" applyFont="1" applyBorder="1" applyAlignment="1">
      <alignment horizontal="center"/>
    </xf>
    <xf numFmtId="2" fontId="13" fillId="18" borderId="15" xfId="51" applyNumberFormat="1" applyFont="1" applyFill="1" applyBorder="1" applyAlignment="1" applyProtection="1">
      <alignment horizontal="center"/>
    </xf>
    <xf numFmtId="0" fontId="13" fillId="0" borderId="33" xfId="51" applyFont="1" applyFill="1" applyBorder="1" applyAlignment="1" applyProtection="1">
      <alignment horizontal="center"/>
    </xf>
    <xf numFmtId="2" fontId="13" fillId="0" borderId="33" xfId="51" applyNumberFormat="1" applyFont="1" applyFill="1" applyBorder="1" applyAlignment="1" applyProtection="1">
      <alignment horizontal="center"/>
    </xf>
    <xf numFmtId="2" fontId="13" fillId="0" borderId="33" xfId="51" quotePrefix="1" applyNumberFormat="1" applyFont="1" applyFill="1" applyBorder="1" applyAlignment="1" applyProtection="1">
      <alignment horizontal="center"/>
    </xf>
    <xf numFmtId="164" fontId="13" fillId="0" borderId="33" xfId="51" applyNumberFormat="1" applyFont="1" applyFill="1" applyBorder="1" applyAlignment="1" applyProtection="1">
      <alignment horizontal="center"/>
    </xf>
    <xf numFmtId="0" fontId="13" fillId="0" borderId="33" xfId="51" applyFont="1" applyFill="1" applyBorder="1" applyAlignment="1" applyProtection="1">
      <alignment horizontal="center" vertical="center"/>
    </xf>
    <xf numFmtId="0" fontId="13" fillId="0" borderId="38" xfId="51" applyFont="1" applyFill="1" applyBorder="1" applyAlignment="1" applyProtection="1">
      <alignment horizontal="center" vertical="center"/>
    </xf>
    <xf numFmtId="0" fontId="2" fillId="0" borderId="28" xfId="51" applyFont="1" applyBorder="1" applyAlignment="1">
      <alignment horizontal="center"/>
    </xf>
    <xf numFmtId="0" fontId="2" fillId="18" borderId="37" xfId="51" applyFont="1" applyFill="1" applyBorder="1" applyAlignment="1" applyProtection="1">
      <alignment horizontal="center"/>
    </xf>
    <xf numFmtId="2" fontId="13" fillId="18" borderId="37" xfId="51" applyNumberFormat="1" applyFont="1" applyFill="1" applyBorder="1" applyAlignment="1" applyProtection="1">
      <alignment horizontal="center"/>
    </xf>
    <xf numFmtId="0" fontId="13" fillId="0" borderId="37" xfId="51" applyFont="1" applyFill="1" applyBorder="1" applyAlignment="1" applyProtection="1">
      <alignment horizontal="center"/>
    </xf>
    <xf numFmtId="2" fontId="13" fillId="0" borderId="37" xfId="51" applyNumberFormat="1" applyFont="1" applyFill="1" applyBorder="1" applyAlignment="1" applyProtection="1">
      <alignment horizontal="center"/>
    </xf>
    <xf numFmtId="2" fontId="13" fillId="0" borderId="37" xfId="51" quotePrefix="1" applyNumberFormat="1" applyFont="1" applyFill="1" applyBorder="1" applyAlignment="1" applyProtection="1">
      <alignment horizontal="center"/>
    </xf>
    <xf numFmtId="0" fontId="13" fillId="18" borderId="37" xfId="51" applyFont="1" applyFill="1" applyBorder="1" applyAlignment="1" applyProtection="1">
      <alignment horizontal="center"/>
    </xf>
    <xf numFmtId="164" fontId="13" fillId="0" borderId="37" xfId="51" applyNumberFormat="1" applyFont="1" applyFill="1" applyBorder="1" applyAlignment="1" applyProtection="1">
      <alignment horizontal="center"/>
    </xf>
    <xf numFmtId="0" fontId="13" fillId="0" borderId="37" xfId="51" applyFont="1" applyFill="1" applyBorder="1" applyAlignment="1" applyProtection="1">
      <alignment horizontal="center" vertical="center"/>
    </xf>
    <xf numFmtId="0" fontId="2" fillId="18" borderId="41" xfId="51" applyFont="1" applyFill="1" applyBorder="1" applyAlignment="1" applyProtection="1">
      <alignment horizontal="center"/>
    </xf>
    <xf numFmtId="0" fontId="2" fillId="0" borderId="42" xfId="51" applyFont="1" applyBorder="1" applyAlignment="1">
      <alignment horizontal="center"/>
    </xf>
    <xf numFmtId="0" fontId="2" fillId="0" borderId="24" xfId="51" applyFont="1" applyBorder="1" applyAlignment="1">
      <alignment horizontal="center"/>
    </xf>
    <xf numFmtId="2" fontId="7" fillId="0" borderId="22" xfId="51" applyNumberFormat="1" applyFont="1" applyFill="1" applyBorder="1" applyAlignment="1" applyProtection="1">
      <alignment horizontal="center"/>
    </xf>
    <xf numFmtId="0" fontId="2" fillId="0" borderId="0" xfId="51" applyFont="1" applyFill="1" applyBorder="1" applyAlignment="1" applyProtection="1">
      <alignment horizontal="center"/>
    </xf>
    <xf numFmtId="0" fontId="2" fillId="0" borderId="0" xfId="51" applyFont="1" applyFill="1" applyBorder="1" applyAlignment="1" applyProtection="1">
      <alignment horizontal="center"/>
      <protection locked="0"/>
    </xf>
    <xf numFmtId="2" fontId="2" fillId="0" borderId="0" xfId="51" applyNumberFormat="1" applyFont="1" applyFill="1" applyBorder="1" applyAlignment="1" applyProtection="1">
      <alignment horizontal="center"/>
      <protection locked="0"/>
    </xf>
    <xf numFmtId="2" fontId="13" fillId="0" borderId="0" xfId="51" applyNumberFormat="1" applyFont="1" applyFill="1" applyBorder="1" applyAlignment="1" applyProtection="1">
      <alignment horizontal="center"/>
    </xf>
    <xf numFmtId="0" fontId="7" fillId="0" borderId="0" xfId="51" applyFont="1" applyFill="1" applyBorder="1" applyAlignment="1" applyProtection="1">
      <alignment horizontal="left" vertical="center"/>
    </xf>
    <xf numFmtId="0" fontId="5" fillId="0" borderId="0" xfId="51" applyFont="1" applyFill="1" applyBorder="1" applyAlignment="1" applyProtection="1">
      <alignment horizontal="left" vertical="center"/>
    </xf>
    <xf numFmtId="0" fontId="5" fillId="0" borderId="0" xfId="51" applyFont="1" applyFill="1" applyBorder="1" applyAlignment="1" applyProtection="1">
      <alignment horizontal="center" vertical="center"/>
    </xf>
    <xf numFmtId="0" fontId="7" fillId="0" borderId="0" xfId="51" applyFont="1" applyFill="1" applyBorder="1" applyAlignment="1" applyProtection="1">
      <alignment horizontal="center" vertical="center"/>
    </xf>
    <xf numFmtId="0" fontId="6" fillId="0" borderId="0" xfId="51" applyFont="1" applyFill="1" applyBorder="1" applyAlignment="1" applyProtection="1">
      <alignment horizontal="left" vertical="center"/>
    </xf>
    <xf numFmtId="0" fontId="8" fillId="0" borderId="0" xfId="51" applyFont="1" applyFill="1" applyBorder="1" applyAlignment="1" applyProtection="1">
      <alignment horizontal="center" vertical="center"/>
    </xf>
    <xf numFmtId="0" fontId="6" fillId="0" borderId="0" xfId="51" applyFont="1" applyFill="1" applyBorder="1" applyAlignment="1" applyProtection="1">
      <alignment horizontal="center" vertical="center"/>
    </xf>
    <xf numFmtId="0" fontId="2" fillId="0" borderId="0" xfId="51" applyAlignment="1" applyProtection="1">
      <alignment horizontal="left"/>
    </xf>
    <xf numFmtId="0" fontId="2" fillId="0" borderId="0" xfId="51" applyAlignment="1" applyProtection="1">
      <alignment horizontal="center"/>
    </xf>
    <xf numFmtId="0" fontId="5" fillId="0" borderId="0" xfId="51" applyFont="1" applyFill="1" applyBorder="1" applyAlignment="1" applyProtection="1">
      <alignment horizontal="left"/>
    </xf>
    <xf numFmtId="2" fontId="5" fillId="0" borderId="0" xfId="51" applyNumberFormat="1" applyFont="1" applyFill="1" applyBorder="1" applyAlignment="1" applyProtection="1">
      <alignment horizontal="right" vertical="center" indent="1"/>
    </xf>
    <xf numFmtId="0" fontId="5" fillId="0" borderId="0" xfId="51" applyFont="1" applyBorder="1" applyAlignment="1" applyProtection="1">
      <alignment horizontal="left"/>
    </xf>
    <xf numFmtId="164" fontId="5" fillId="0" borderId="0" xfId="51" applyNumberFormat="1" applyFont="1" applyAlignment="1" applyProtection="1">
      <alignment horizontal="center"/>
    </xf>
    <xf numFmtId="164" fontId="5" fillId="0" borderId="0" xfId="51" applyNumberFormat="1" applyFont="1" applyFill="1" applyAlignment="1" applyProtection="1">
      <alignment horizontal="center"/>
    </xf>
    <xf numFmtId="0" fontId="12" fillId="0" borderId="0" xfId="51" applyFont="1" applyFill="1" applyAlignment="1" applyProtection="1">
      <alignment horizontal="left" vertical="top"/>
    </xf>
    <xf numFmtId="0" fontId="2" fillId="0" borderId="0" xfId="51" applyFill="1" applyAlignment="1" applyProtection="1">
      <alignment horizontal="left"/>
    </xf>
    <xf numFmtId="0" fontId="11" fillId="0" borderId="0" xfId="51" applyFont="1" applyAlignment="1" applyProtection="1">
      <alignment horizontal="left" vertical="top"/>
    </xf>
    <xf numFmtId="0" fontId="12" fillId="0" borderId="0" xfId="51" applyFont="1" applyAlignment="1" applyProtection="1">
      <alignment horizontal="left" vertical="top"/>
    </xf>
    <xf numFmtId="0" fontId="10" fillId="0" borderId="0" xfId="51" applyFont="1" applyAlignment="1" applyProtection="1"/>
    <xf numFmtId="0" fontId="5" fillId="0" borderId="0" xfId="0" applyFont="1" applyAlignment="1" applyProtection="1">
      <alignment horizontal="center"/>
    </xf>
    <xf numFmtId="167" fontId="2" fillId="0" borderId="0" xfId="51" applyNumberFormat="1" applyAlignment="1" applyProtection="1">
      <alignment horizontal="center"/>
    </xf>
    <xf numFmtId="0" fontId="5" fillId="0" borderId="0" xfId="51" applyFont="1" applyAlignment="1" applyProtection="1">
      <alignment horizontal="center"/>
    </xf>
    <xf numFmtId="0" fontId="5" fillId="0" borderId="0" xfId="0" applyFont="1" applyBorder="1" applyAlignment="1" applyProtection="1">
      <alignment horizontal="center"/>
    </xf>
    <xf numFmtId="0" fontId="5" fillId="0" borderId="22" xfId="51" applyFont="1" applyFill="1" applyBorder="1" applyAlignment="1" applyProtection="1">
      <alignment horizontal="left"/>
    </xf>
    <xf numFmtId="0" fontId="7" fillId="0" borderId="22" xfId="0" applyFont="1" applyFill="1" applyBorder="1" applyAlignment="1" applyProtection="1">
      <alignment horizontal="center"/>
    </xf>
    <xf numFmtId="2" fontId="5" fillId="0" borderId="22" xfId="51" applyNumberFormat="1" applyFont="1" applyFill="1" applyBorder="1" applyAlignment="1" applyProtection="1">
      <alignment horizontal="right" indent="1"/>
    </xf>
    <xf numFmtId="2" fontId="5" fillId="0" borderId="22" xfId="0" applyNumberFormat="1" applyFont="1" applyFill="1" applyBorder="1" applyAlignment="1" applyProtection="1">
      <alignment horizontal="right" indent="1"/>
    </xf>
    <xf numFmtId="0" fontId="5" fillId="0" borderId="22" xfId="51" applyFont="1" applyFill="1" applyBorder="1" applyAlignment="1" applyProtection="1">
      <alignment horizontal="center"/>
    </xf>
    <xf numFmtId="2" fontId="5" fillId="0" borderId="22" xfId="51" applyNumberFormat="1" applyFont="1" applyFill="1" applyBorder="1" applyAlignment="1" applyProtection="1">
      <alignment horizontal="center"/>
    </xf>
    <xf numFmtId="2" fontId="45" fillId="0" borderId="22" xfId="0" applyNumberFormat="1" applyFont="1" applyFill="1" applyBorder="1" applyAlignment="1" applyProtection="1">
      <alignment horizontal="center"/>
    </xf>
    <xf numFmtId="0" fontId="5" fillId="0" borderId="22" xfId="0" applyFont="1" applyFill="1" applyBorder="1" applyProtection="1"/>
    <xf numFmtId="2" fontId="5" fillId="0" borderId="22" xfId="0" applyNumberFormat="1" applyFont="1" applyFill="1" applyBorder="1" applyAlignment="1" applyProtection="1">
      <alignment horizontal="center"/>
    </xf>
    <xf numFmtId="164" fontId="7" fillId="0" borderId="0" xfId="51" applyNumberFormat="1" applyFont="1" applyAlignment="1" applyProtection="1">
      <alignment horizontal="left"/>
    </xf>
    <xf numFmtId="164" fontId="53" fillId="0" borderId="0" xfId="51" applyNumberFormat="1" applyFont="1" applyAlignment="1" applyProtection="1">
      <alignment horizontal="center"/>
    </xf>
    <xf numFmtId="0" fontId="13" fillId="18" borderId="22" xfId="51" applyFont="1" applyFill="1" applyBorder="1" applyAlignment="1" applyProtection="1">
      <alignment horizontal="center"/>
    </xf>
    <xf numFmtId="0" fontId="7" fillId="0" borderId="33" xfId="0" applyFont="1" applyBorder="1" applyAlignment="1"/>
    <xf numFmtId="2" fontId="13" fillId="18" borderId="22" xfId="51" applyNumberFormat="1" applyFont="1" applyFill="1" applyBorder="1" applyAlignment="1" applyProtection="1">
      <alignment horizontal="center"/>
    </xf>
    <xf numFmtId="0" fontId="13" fillId="0" borderId="22" xfId="51" applyFont="1" applyFill="1" applyBorder="1" applyAlignment="1" applyProtection="1">
      <alignment horizontal="center"/>
    </xf>
    <xf numFmtId="2" fontId="13" fillId="0" borderId="22" xfId="51" applyNumberFormat="1" applyFont="1" applyFill="1" applyBorder="1" applyAlignment="1" applyProtection="1">
      <alignment horizontal="center"/>
    </xf>
    <xf numFmtId="2" fontId="52" fillId="0" borderId="0" xfId="51" applyNumberFormat="1" applyFont="1" applyFill="1" applyBorder="1" applyAlignment="1" applyProtection="1">
      <alignment horizontal="center" vertical="center"/>
    </xf>
    <xf numFmtId="0" fontId="9" fillId="0" borderId="0" xfId="51"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2" fillId="0" borderId="0" xfId="51" applyFill="1" applyBorder="1" applyAlignment="1" applyProtection="1">
      <alignment horizontal="left"/>
    </xf>
    <xf numFmtId="0" fontId="53" fillId="21" borderId="0" xfId="51" applyFont="1" applyFill="1" applyAlignment="1" applyProtection="1">
      <protection locked="0"/>
    </xf>
    <xf numFmtId="0" fontId="51" fillId="0" borderId="0" xfId="0" applyFont="1" applyFill="1" applyBorder="1" applyAlignment="1" applyProtection="1">
      <alignment horizontal="center" vertical="center"/>
    </xf>
    <xf numFmtId="0" fontId="2" fillId="0" borderId="0" xfId="51" applyFont="1" applyFill="1" applyBorder="1"/>
    <xf numFmtId="0" fontId="13" fillId="0" borderId="0" xfId="51" applyFont="1" applyFill="1" applyBorder="1" applyAlignment="1">
      <alignment horizontal="center"/>
    </xf>
    <xf numFmtId="2" fontId="13" fillId="0" borderId="0" xfId="51" applyNumberFormat="1" applyFont="1" applyFill="1" applyBorder="1" applyAlignment="1">
      <alignment horizontal="center"/>
    </xf>
    <xf numFmtId="0" fontId="13" fillId="0" borderId="0" xfId="51" applyFont="1" applyFill="1" applyBorder="1" applyAlignment="1" applyProtection="1">
      <alignment horizontal="center"/>
    </xf>
    <xf numFmtId="0" fontId="2" fillId="0" borderId="0" xfId="51" applyFont="1" applyFill="1" applyBorder="1" applyAlignment="1" applyProtection="1">
      <alignment horizontal="left"/>
    </xf>
    <xf numFmtId="2" fontId="13" fillId="0" borderId="0" xfId="51" quotePrefix="1" applyNumberFormat="1" applyFont="1" applyFill="1" applyBorder="1" applyAlignment="1" applyProtection="1">
      <alignment horizontal="center"/>
    </xf>
    <xf numFmtId="2" fontId="2" fillId="0" borderId="0" xfId="51" applyNumberFormat="1" applyFont="1" applyFill="1" applyBorder="1" applyAlignment="1" applyProtection="1">
      <alignment horizontal="center"/>
    </xf>
    <xf numFmtId="2" fontId="13" fillId="0" borderId="0" xfId="51" applyNumberFormat="1" applyFont="1" applyFill="1" applyBorder="1" applyAlignment="1" applyProtection="1">
      <alignment horizontal="center"/>
      <protection locked="0"/>
    </xf>
    <xf numFmtId="0" fontId="2" fillId="0" borderId="0" xfId="51" applyFont="1" applyFill="1" applyBorder="1" applyAlignment="1" applyProtection="1">
      <alignment horizontal="right"/>
    </xf>
    <xf numFmtId="2" fontId="2" fillId="0" borderId="0" xfId="51" applyNumberFormat="1" applyFont="1" applyFill="1" applyBorder="1" applyAlignment="1" applyProtection="1">
      <alignment horizontal="left"/>
      <protection locked="0"/>
    </xf>
    <xf numFmtId="0" fontId="7" fillId="0" borderId="0" xfId="51" applyFont="1" applyFill="1" applyBorder="1" applyAlignment="1" applyProtection="1">
      <alignment horizontal="left"/>
    </xf>
    <xf numFmtId="2" fontId="5" fillId="0" borderId="0" xfId="51" applyNumberFormat="1" applyFont="1" applyFill="1" applyBorder="1" applyAlignment="1" applyProtection="1">
      <alignment horizontal="right" vertical="center"/>
    </xf>
    <xf numFmtId="0" fontId="52" fillId="0" borderId="0" xfId="51" applyFont="1" applyFill="1" applyBorder="1" applyAlignment="1" applyProtection="1">
      <alignment horizontal="center" vertical="center"/>
    </xf>
    <xf numFmtId="2" fontId="52" fillId="0" borderId="0" xfId="51" applyNumberFormat="1" applyFont="1" applyFill="1" applyBorder="1" applyAlignment="1" applyProtection="1">
      <alignment horizontal="right" vertical="center"/>
    </xf>
    <xf numFmtId="0" fontId="2" fillId="0" borderId="0" xfId="51" applyBorder="1" applyAlignment="1" applyProtection="1">
      <alignment horizontal="left"/>
    </xf>
    <xf numFmtId="0" fontId="5" fillId="21" borderId="25" xfId="51" applyFont="1" applyFill="1" applyBorder="1" applyAlignment="1" applyProtection="1">
      <alignment horizontal="right"/>
      <protection locked="0"/>
    </xf>
    <xf numFmtId="0" fontId="2" fillId="0" borderId="11" xfId="51" applyBorder="1" applyAlignment="1" applyProtection="1">
      <alignment horizontal="left"/>
    </xf>
    <xf numFmtId="0" fontId="2" fillId="0" borderId="13" xfId="51" applyBorder="1" applyAlignment="1" applyProtection="1">
      <alignment horizontal="left"/>
    </xf>
    <xf numFmtId="0" fontId="2" fillId="0" borderId="14" xfId="51" applyBorder="1" applyAlignment="1" applyProtection="1">
      <alignment horizontal="left"/>
    </xf>
    <xf numFmtId="0" fontId="2" fillId="0" borderId="15" xfId="51" applyBorder="1" applyAlignment="1" applyProtection="1">
      <alignment horizontal="left"/>
    </xf>
    <xf numFmtId="0" fontId="5" fillId="0" borderId="14" xfId="51" applyFont="1" applyBorder="1" applyAlignment="1" applyProtection="1">
      <alignment horizontal="left"/>
    </xf>
    <xf numFmtId="0" fontId="5" fillId="0" borderId="15" xfId="51" applyFont="1" applyBorder="1" applyAlignment="1" applyProtection="1">
      <alignment horizontal="left"/>
    </xf>
    <xf numFmtId="0" fontId="5" fillId="0" borderId="14" xfId="51" applyFont="1" applyFill="1" applyBorder="1" applyAlignment="1" applyProtection="1">
      <alignment horizontal="left"/>
    </xf>
    <xf numFmtId="2" fontId="52" fillId="0" borderId="15" xfId="51" applyNumberFormat="1" applyFont="1" applyFill="1" applyBorder="1" applyAlignment="1" applyProtection="1">
      <alignment horizontal="center" vertical="center"/>
    </xf>
    <xf numFmtId="2" fontId="5" fillId="0" borderId="15" xfId="51" applyNumberFormat="1" applyFont="1" applyFill="1" applyBorder="1" applyAlignment="1" applyProtection="1">
      <alignment horizontal="right" vertical="center" indent="1"/>
    </xf>
    <xf numFmtId="164" fontId="5" fillId="0" borderId="15" xfId="51" applyNumberFormat="1" applyFont="1" applyBorder="1" applyAlignment="1" applyProtection="1">
      <alignment horizontal="center"/>
    </xf>
    <xf numFmtId="164" fontId="5" fillId="0" borderId="0" xfId="51" applyNumberFormat="1" applyFont="1" applyFill="1" applyBorder="1" applyAlignment="1" applyProtection="1">
      <alignment horizontal="center"/>
    </xf>
    <xf numFmtId="0" fontId="2" fillId="0" borderId="17" xfId="51" applyBorder="1" applyAlignment="1" applyProtection="1">
      <alignment horizontal="left"/>
    </xf>
    <xf numFmtId="0" fontId="5" fillId="0" borderId="18" xfId="51" applyFont="1" applyFill="1" applyBorder="1" applyAlignment="1" applyProtection="1">
      <alignment horizontal="left" vertical="center"/>
    </xf>
    <xf numFmtId="0" fontId="6" fillId="0" borderId="18" xfId="51" applyFont="1" applyFill="1" applyBorder="1" applyAlignment="1" applyProtection="1">
      <alignment horizontal="left" vertical="center"/>
    </xf>
    <xf numFmtId="0" fontId="5" fillId="0" borderId="18" xfId="51" applyFont="1" applyFill="1" applyBorder="1" applyAlignment="1" applyProtection="1">
      <alignment horizontal="center" vertical="center"/>
    </xf>
    <xf numFmtId="0" fontId="7" fillId="0" borderId="18" xfId="51" applyFont="1" applyFill="1" applyBorder="1" applyAlignment="1" applyProtection="1">
      <alignment horizontal="center" vertical="center"/>
    </xf>
    <xf numFmtId="2" fontId="5" fillId="0" borderId="18" xfId="51" applyNumberFormat="1" applyFont="1" applyFill="1" applyBorder="1" applyAlignment="1" applyProtection="1">
      <alignment horizontal="right" vertical="center" indent="1"/>
    </xf>
    <xf numFmtId="164" fontId="5" fillId="0" borderId="18" xfId="51" applyNumberFormat="1" applyFont="1" applyFill="1" applyBorder="1" applyAlignment="1" applyProtection="1">
      <alignment horizontal="center"/>
    </xf>
    <xf numFmtId="164" fontId="5" fillId="0" borderId="19" xfId="51" applyNumberFormat="1" applyFont="1" applyBorder="1" applyAlignment="1" applyProtection="1">
      <alignment horizontal="center"/>
    </xf>
    <xf numFmtId="0" fontId="2" fillId="0" borderId="18" xfId="51" applyBorder="1" applyAlignment="1" applyProtection="1">
      <alignment horizontal="left"/>
    </xf>
    <xf numFmtId="0" fontId="13" fillId="0" borderId="0" xfId="51" applyFont="1" applyFill="1" applyBorder="1" applyAlignment="1">
      <alignment horizontal="left"/>
    </xf>
    <xf numFmtId="0" fontId="54" fillId="0" borderId="0" xfId="0" applyFont="1" applyFill="1" applyBorder="1" applyAlignment="1">
      <alignment horizontal="left"/>
    </xf>
    <xf numFmtId="2" fontId="13" fillId="0" borderId="0" xfId="51" applyNumberFormat="1" applyFont="1" applyFill="1" applyBorder="1" applyAlignment="1" applyProtection="1">
      <alignment horizontal="left"/>
    </xf>
    <xf numFmtId="0" fontId="13" fillId="0" borderId="0" xfId="51" applyFont="1" applyFill="1" applyBorder="1" applyAlignment="1" applyProtection="1">
      <alignment horizontal="left"/>
    </xf>
    <xf numFmtId="0" fontId="52" fillId="0" borderId="14" xfId="51" applyFont="1" applyFill="1" applyBorder="1" applyAlignment="1" applyProtection="1">
      <alignment horizontal="center" vertical="center"/>
    </xf>
    <xf numFmtId="0" fontId="52" fillId="0" borderId="15" xfId="51" applyFont="1" applyFill="1" applyBorder="1" applyAlignment="1" applyProtection="1">
      <alignment horizontal="center" vertical="center"/>
    </xf>
    <xf numFmtId="2" fontId="52" fillId="0" borderId="14" xfId="51" applyNumberFormat="1" applyFont="1" applyFill="1" applyBorder="1" applyAlignment="1" applyProtection="1">
      <alignment horizontal="center" vertical="center"/>
    </xf>
    <xf numFmtId="2" fontId="52" fillId="0" borderId="14" xfId="51" applyNumberFormat="1" applyFont="1" applyFill="1" applyBorder="1" applyAlignment="1" applyProtection="1">
      <alignment horizontal="right" vertical="center" indent="1"/>
    </xf>
    <xf numFmtId="2" fontId="52" fillId="0" borderId="15" xfId="51" applyNumberFormat="1" applyFont="1" applyFill="1" applyBorder="1" applyAlignment="1" applyProtection="1">
      <alignment horizontal="right" vertical="center" indent="1"/>
    </xf>
    <xf numFmtId="2" fontId="5" fillId="0" borderId="14" xfId="51" applyNumberFormat="1" applyFont="1" applyFill="1" applyBorder="1" applyAlignment="1" applyProtection="1">
      <alignment horizontal="right" vertical="center" indent="1"/>
    </xf>
    <xf numFmtId="0" fontId="52" fillId="0" borderId="15" xfId="0" applyFont="1" applyFill="1" applyBorder="1" applyAlignment="1" applyProtection="1">
      <alignment horizontal="center" vertical="center"/>
    </xf>
    <xf numFmtId="0" fontId="2" fillId="0" borderId="0" xfId="51" applyFont="1" applyFill="1" applyBorder="1" applyAlignment="1"/>
    <xf numFmtId="0" fontId="13" fillId="0" borderId="0" xfId="51" applyFont="1" applyFill="1" applyBorder="1" applyAlignment="1"/>
    <xf numFmtId="164" fontId="13" fillId="0" borderId="0" xfId="51" applyNumberFormat="1" applyFont="1" applyFill="1" applyBorder="1" applyAlignment="1">
      <alignment horizontal="center"/>
    </xf>
    <xf numFmtId="164" fontId="13" fillId="0" borderId="22" xfId="51" applyNumberFormat="1" applyFont="1" applyBorder="1" applyAlignment="1">
      <alignment horizontal="center"/>
    </xf>
    <xf numFmtId="164" fontId="2" fillId="0" borderId="24" xfId="51" applyNumberFormat="1" applyFont="1" applyBorder="1"/>
    <xf numFmtId="2" fontId="2" fillId="0" borderId="0" xfId="51" applyNumberFormat="1" applyFont="1" applyFill="1" applyBorder="1"/>
    <xf numFmtId="0" fontId="13" fillId="0" borderId="22" xfId="51" applyFont="1" applyBorder="1"/>
    <xf numFmtId="0" fontId="2" fillId="0" borderId="22" xfId="51" applyFont="1" applyBorder="1" applyAlignment="1">
      <alignment horizontal="right"/>
    </xf>
    <xf numFmtId="166" fontId="13" fillId="0" borderId="0" xfId="51" applyNumberFormat="1" applyFont="1" applyFill="1" applyBorder="1" applyAlignment="1" applyProtection="1">
      <alignment horizontal="center"/>
    </xf>
    <xf numFmtId="0" fontId="54" fillId="0" borderId="0" xfId="0" applyFont="1"/>
    <xf numFmtId="2" fontId="2" fillId="0" borderId="22" xfId="51" applyNumberFormat="1" applyFont="1" applyBorder="1"/>
    <xf numFmtId="2" fontId="2" fillId="0" borderId="27" xfId="51" applyNumberFormat="1" applyFont="1" applyBorder="1"/>
    <xf numFmtId="2" fontId="2" fillId="0" borderId="24" xfId="51" applyNumberFormat="1" applyFont="1" applyBorder="1"/>
    <xf numFmtId="2" fontId="2" fillId="0" borderId="26" xfId="51" applyNumberFormat="1" applyFont="1" applyBorder="1"/>
    <xf numFmtId="2" fontId="2" fillId="0" borderId="0" xfId="51" applyNumberFormat="1" applyFont="1" applyFill="1" applyBorder="1" applyAlignment="1"/>
    <xf numFmtId="2" fontId="2" fillId="0" borderId="23" xfId="51" applyNumberFormat="1" applyFont="1" applyBorder="1"/>
    <xf numFmtId="2" fontId="13" fillId="0" borderId="22" xfId="51" applyNumberFormat="1" applyFont="1" applyBorder="1" applyAlignment="1">
      <alignment horizontal="center"/>
    </xf>
    <xf numFmtId="2" fontId="13" fillId="0" borderId="26" xfId="51" applyNumberFormat="1" applyFont="1" applyBorder="1" applyAlignment="1">
      <alignment horizontal="center"/>
    </xf>
    <xf numFmtId="2" fontId="54" fillId="0" borderId="0" xfId="0" applyNumberFormat="1" applyFont="1" applyFill="1" applyBorder="1" applyAlignment="1">
      <alignment horizontal="center"/>
    </xf>
    <xf numFmtId="2" fontId="2" fillId="0" borderId="0" xfId="51" applyNumberFormat="1" applyFont="1" applyFill="1" applyBorder="1" applyAlignment="1" applyProtection="1">
      <alignment horizontal="right"/>
    </xf>
    <xf numFmtId="165" fontId="55" fillId="0" borderId="0" xfId="0" applyNumberFormat="1" applyFont="1"/>
    <xf numFmtId="165" fontId="2" fillId="0" borderId="22" xfId="51" applyNumberFormat="1" applyFont="1" applyBorder="1"/>
    <xf numFmtId="165" fontId="13" fillId="0" borderId="0" xfId="51" applyNumberFormat="1" applyFont="1" applyFill="1" applyBorder="1" applyAlignment="1">
      <alignment horizontal="center"/>
    </xf>
    <xf numFmtId="165" fontId="2" fillId="0" borderId="0" xfId="51" applyNumberFormat="1" applyFont="1" applyFill="1" applyBorder="1" applyAlignment="1" applyProtection="1">
      <alignment horizontal="center"/>
    </xf>
    <xf numFmtId="2" fontId="2" fillId="0" borderId="35" xfId="51" applyNumberFormat="1" applyFont="1" applyFill="1" applyBorder="1" applyAlignment="1" applyProtection="1">
      <alignment horizontal="center" vertical="center"/>
    </xf>
    <xf numFmtId="2" fontId="2" fillId="0" borderId="33" xfId="51" applyNumberFormat="1" applyFont="1" applyFill="1" applyBorder="1" applyAlignment="1" applyProtection="1">
      <alignment horizontal="center"/>
    </xf>
    <xf numFmtId="2" fontId="2" fillId="0" borderId="38" xfId="51" applyNumberFormat="1" applyFont="1" applyFill="1" applyBorder="1" applyAlignment="1" applyProtection="1">
      <alignment horizontal="center"/>
    </xf>
    <xf numFmtId="2" fontId="13" fillId="0" borderId="22" xfId="51" applyNumberFormat="1" applyFont="1" applyFill="1" applyBorder="1" applyAlignment="1" applyProtection="1">
      <alignment horizontal="center" vertical="center"/>
    </xf>
    <xf numFmtId="2" fontId="2" fillId="0" borderId="22" xfId="51" quotePrefix="1" applyNumberFormat="1" applyFont="1" applyBorder="1"/>
    <xf numFmtId="0" fontId="54" fillId="0" borderId="0" xfId="0" quotePrefix="1" applyFont="1" applyFill="1" applyBorder="1" applyAlignment="1">
      <alignment horizontal="left"/>
    </xf>
    <xf numFmtId="0" fontId="2" fillId="0" borderId="22" xfId="51" quotePrefix="1" applyFont="1" applyBorder="1"/>
    <xf numFmtId="0" fontId="5" fillId="0" borderId="0" xfId="51" applyFont="1" applyFill="1" applyAlignment="1" applyProtection="1">
      <alignment horizontal="right"/>
    </xf>
    <xf numFmtId="2" fontId="2" fillId="0" borderId="0" xfId="51" applyNumberFormat="1" applyFill="1" applyAlignment="1" applyProtection="1">
      <alignment horizontal="right"/>
    </xf>
    <xf numFmtId="2" fontId="5" fillId="0" borderId="0" xfId="51" applyNumberFormat="1" applyFont="1" applyFill="1" applyAlignment="1" applyProtection="1">
      <alignment horizontal="right"/>
    </xf>
    <xf numFmtId="0" fontId="5" fillId="0" borderId="0" xfId="0" applyFont="1" applyBorder="1" applyProtection="1"/>
    <xf numFmtId="2" fontId="5" fillId="0" borderId="0" xfId="0" applyNumberFormat="1" applyFont="1" applyBorder="1" applyAlignment="1" applyProtection="1">
      <alignment horizontal="center"/>
    </xf>
    <xf numFmtId="0" fontId="7" fillId="0" borderId="0" xfId="0" applyFont="1" applyBorder="1" applyAlignment="1" applyProtection="1">
      <alignment horizontal="center"/>
    </xf>
    <xf numFmtId="0" fontId="5" fillId="0" borderId="0" xfId="51" applyFont="1" applyFill="1" applyAlignment="1" applyProtection="1">
      <alignment horizontal="left"/>
    </xf>
    <xf numFmtId="0" fontId="49" fillId="0" borderId="0" xfId="51" applyFont="1" applyAlignment="1" applyProtection="1">
      <alignment horizontal="center"/>
    </xf>
    <xf numFmtId="2" fontId="45" fillId="0" borderId="0" xfId="0" applyNumberFormat="1" applyFont="1" applyAlignment="1" applyProtection="1">
      <alignment horizontal="right"/>
    </xf>
    <xf numFmtId="0" fontId="5" fillId="0" borderId="0" xfId="51" applyFont="1" applyFill="1" applyBorder="1" applyAlignment="1" applyProtection="1">
      <alignment horizontal="right"/>
    </xf>
    <xf numFmtId="2" fontId="5" fillId="21" borderId="0" xfId="51" applyNumberFormat="1" applyFont="1" applyFill="1" applyAlignment="1" applyProtection="1">
      <alignment horizontal="right"/>
      <protection locked="0"/>
    </xf>
    <xf numFmtId="0" fontId="2" fillId="0" borderId="0" xfId="51" applyFont="1" applyBorder="1"/>
    <xf numFmtId="0" fontId="13" fillId="0" borderId="22" xfId="51" applyFont="1" applyBorder="1" applyAlignment="1">
      <alignment horizontal="center"/>
    </xf>
    <xf numFmtId="2" fontId="1" fillId="0" borderId="22" xfId="0" quotePrefix="1" applyNumberFormat="1" applyFont="1" applyFill="1" applyBorder="1" applyAlignment="1" applyProtection="1">
      <alignment horizontal="center"/>
    </xf>
    <xf numFmtId="0" fontId="5" fillId="0" borderId="24" xfId="51" applyFont="1" applyFill="1" applyBorder="1" applyAlignment="1" applyProtection="1">
      <alignment horizontal="left"/>
    </xf>
    <xf numFmtId="2" fontId="5" fillId="0" borderId="24" xfId="51" applyNumberFormat="1" applyFont="1" applyFill="1" applyBorder="1" applyAlignment="1" applyProtection="1">
      <alignment horizontal="right" indent="1"/>
    </xf>
    <xf numFmtId="2" fontId="5" fillId="0" borderId="28" xfId="51" applyNumberFormat="1" applyFont="1" applyFill="1" applyBorder="1" applyAlignment="1" applyProtection="1">
      <alignment horizontal="center"/>
    </xf>
    <xf numFmtId="168" fontId="5" fillId="0" borderId="28" xfId="51" applyNumberFormat="1" applyFont="1" applyFill="1" applyBorder="1" applyAlignment="1" applyProtection="1">
      <alignment horizontal="right" indent="1"/>
    </xf>
    <xf numFmtId="2" fontId="6" fillId="0" borderId="0" xfId="51" applyNumberFormat="1" applyFont="1" applyFill="1" applyBorder="1" applyAlignment="1" applyProtection="1">
      <alignment horizontal="left" vertical="center"/>
    </xf>
    <xf numFmtId="0" fontId="5" fillId="0" borderId="0" xfId="0" applyFont="1" applyFill="1" applyBorder="1" applyAlignment="1" applyProtection="1">
      <alignment horizontal="center"/>
    </xf>
    <xf numFmtId="0" fontId="2" fillId="0" borderId="0" xfId="51" applyFill="1" applyBorder="1" applyAlignment="1" applyProtection="1">
      <alignment horizontal="center"/>
    </xf>
    <xf numFmtId="2" fontId="2" fillId="0" borderId="0" xfId="51" applyNumberFormat="1" applyFont="1" applyFill="1" applyBorder="1" applyAlignment="1" applyProtection="1">
      <alignment horizontal="right" vertical="center" indent="1"/>
    </xf>
    <xf numFmtId="2" fontId="52" fillId="0" borderId="0" xfId="51" applyNumberFormat="1" applyFont="1" applyFill="1" applyBorder="1" applyAlignment="1" applyProtection="1">
      <alignment horizontal="right" vertical="center" indent="1"/>
    </xf>
    <xf numFmtId="2" fontId="5" fillId="0" borderId="0" xfId="51" applyNumberFormat="1" applyFont="1" applyAlignment="1" applyProtection="1">
      <alignment horizontal="left"/>
    </xf>
    <xf numFmtId="0" fontId="47" fillId="0" borderId="0" xfId="51" applyFont="1" applyFill="1" applyBorder="1" applyAlignment="1" applyProtection="1">
      <alignment horizontal="left"/>
    </xf>
    <xf numFmtId="0" fontId="51" fillId="0" borderId="0" xfId="0" applyFont="1" applyAlignment="1">
      <alignment vertical="center"/>
    </xf>
    <xf numFmtId="0" fontId="50" fillId="0" borderId="0" xfId="49" applyAlignment="1">
      <alignment vertical="center"/>
    </xf>
    <xf numFmtId="2" fontId="2" fillId="0" borderId="0" xfId="51" applyNumberFormat="1" applyFont="1" applyFill="1" applyBorder="1" applyAlignment="1" applyProtection="1">
      <alignment horizontal="right" vertical="center"/>
    </xf>
    <xf numFmtId="2" fontId="5" fillId="0" borderId="22" xfId="51" applyNumberFormat="1" applyFont="1" applyFill="1" applyBorder="1" applyAlignment="1" applyProtection="1">
      <alignment horizontal="right"/>
    </xf>
    <xf numFmtId="2" fontId="0" fillId="0" borderId="0" xfId="0" applyNumberFormat="1" applyFill="1" applyBorder="1" applyAlignment="1" applyProtection="1">
      <alignment horizontal="center"/>
    </xf>
    <xf numFmtId="0" fontId="0" fillId="0" borderId="0" xfId="0" applyAlignment="1">
      <alignment vertical="top"/>
    </xf>
    <xf numFmtId="2" fontId="5" fillId="0" borderId="24" xfId="51" quotePrefix="1" applyNumberFormat="1" applyFont="1" applyFill="1" applyBorder="1" applyAlignment="1" applyProtection="1">
      <alignment horizontal="right" indent="1"/>
    </xf>
    <xf numFmtId="0" fontId="56" fillId="0" borderId="0" xfId="51" applyFont="1" applyBorder="1" applyAlignment="1" applyProtection="1">
      <alignment horizontal="center" vertical="top"/>
    </xf>
    <xf numFmtId="0" fontId="6" fillId="0" borderId="0" xfId="51" applyFont="1" applyBorder="1" applyAlignment="1" applyProtection="1">
      <alignment horizontal="right"/>
    </xf>
    <xf numFmtId="0" fontId="0" fillId="0" borderId="0" xfId="0" applyFont="1" applyAlignment="1">
      <alignment horizontal="left" vertical="center" indent="3"/>
    </xf>
    <xf numFmtId="0" fontId="6" fillId="0" borderId="20" xfId="51" applyFont="1" applyBorder="1" applyAlignment="1" applyProtection="1">
      <alignment horizontal="left" vertical="center"/>
    </xf>
    <xf numFmtId="2" fontId="5" fillId="22" borderId="10" xfId="51" applyNumberFormat="1" applyFont="1" applyFill="1" applyBorder="1" applyAlignment="1" applyProtection="1">
      <alignment horizontal="right" vertical="center" indent="1"/>
    </xf>
    <xf numFmtId="2" fontId="5" fillId="22" borderId="10" xfId="51" applyNumberFormat="1" applyFont="1" applyFill="1" applyBorder="1" applyAlignment="1" applyProtection="1">
      <alignment horizontal="right" vertical="center" indent="1" shrinkToFit="1"/>
    </xf>
    <xf numFmtId="0" fontId="6" fillId="20" borderId="21" xfId="51" applyFont="1" applyFill="1" applyBorder="1" applyAlignment="1" applyProtection="1">
      <alignment horizontal="center" vertical="center"/>
    </xf>
    <xf numFmtId="0" fontId="7" fillId="0" borderId="10" xfId="51" applyFont="1" applyBorder="1" applyAlignment="1" applyProtection="1">
      <alignment horizontal="center" vertical="center"/>
    </xf>
    <xf numFmtId="0" fontId="7" fillId="0" borderId="10" xfId="51" applyFont="1" applyBorder="1" applyAlignment="1" applyProtection="1">
      <alignment horizontal="center"/>
    </xf>
    <xf numFmtId="2" fontId="5" fillId="0" borderId="26" xfId="51" quotePrefix="1" applyNumberFormat="1" applyFont="1" applyFill="1" applyBorder="1" applyAlignment="1" applyProtection="1">
      <alignment horizontal="right" indent="1"/>
    </xf>
    <xf numFmtId="0" fontId="6" fillId="25" borderId="20" xfId="51" applyFont="1" applyFill="1" applyBorder="1" applyAlignment="1" applyProtection="1">
      <alignment horizontal="left" vertical="center"/>
    </xf>
    <xf numFmtId="0" fontId="7" fillId="25" borderId="16" xfId="51" applyFont="1" applyFill="1" applyBorder="1" applyAlignment="1" applyProtection="1">
      <alignment horizontal="left" vertical="center"/>
    </xf>
    <xf numFmtId="2" fontId="5" fillId="26" borderId="10" xfId="51" applyNumberFormat="1" applyFont="1" applyFill="1" applyBorder="1" applyAlignment="1" applyProtection="1">
      <alignment horizontal="right" vertical="center" indent="1"/>
      <protection locked="0"/>
    </xf>
    <xf numFmtId="0" fontId="1" fillId="0" borderId="0" xfId="51" applyFont="1" applyBorder="1" applyAlignment="1" applyProtection="1">
      <alignment horizontal="right"/>
    </xf>
    <xf numFmtId="0" fontId="1" fillId="22" borderId="20" xfId="51" applyFont="1" applyFill="1" applyBorder="1" applyAlignment="1" applyProtection="1">
      <alignment horizontal="left" vertical="center"/>
    </xf>
    <xf numFmtId="0" fontId="5" fillId="22" borderId="16" xfId="51" applyFont="1" applyFill="1" applyBorder="1" applyAlignment="1" applyProtection="1">
      <alignment horizontal="left" vertical="center"/>
    </xf>
    <xf numFmtId="0" fontId="5" fillId="22" borderId="20" xfId="51" applyFont="1" applyFill="1" applyBorder="1" applyAlignment="1" applyProtection="1">
      <alignment horizontal="left" vertical="center"/>
    </xf>
    <xf numFmtId="0" fontId="5" fillId="22" borderId="16" xfId="51" applyFont="1" applyFill="1" applyBorder="1" applyAlignment="1" applyProtection="1">
      <alignment horizontal="center" vertical="center"/>
    </xf>
    <xf numFmtId="2" fontId="7" fillId="19" borderId="10" xfId="51" applyNumberFormat="1" applyFont="1" applyFill="1" applyBorder="1" applyAlignment="1" applyProtection="1">
      <alignment horizontal="right" vertical="center" indent="1"/>
      <protection locked="0"/>
    </xf>
    <xf numFmtId="2" fontId="7" fillId="22" borderId="10" xfId="51" applyNumberFormat="1" applyFont="1" applyFill="1" applyBorder="1" applyAlignment="1" applyProtection="1">
      <alignment horizontal="right" vertical="center" indent="1"/>
    </xf>
    <xf numFmtId="2" fontId="7" fillId="25" borderId="10" xfId="51" applyNumberFormat="1" applyFont="1" applyFill="1" applyBorder="1" applyAlignment="1" applyProtection="1">
      <alignment horizontal="right" vertical="center" indent="1"/>
    </xf>
    <xf numFmtId="0" fontId="0" fillId="23" borderId="0" xfId="0" applyFont="1" applyFill="1" applyAlignment="1">
      <alignment horizontal="left" vertical="center" indent="3"/>
    </xf>
    <xf numFmtId="0" fontId="60" fillId="0" borderId="0" xfId="51" applyFont="1" applyFill="1" applyBorder="1" applyAlignment="1" applyProtection="1">
      <alignment horizontal="right"/>
    </xf>
    <xf numFmtId="0" fontId="3" fillId="0" borderId="12" xfId="51" applyFont="1" applyBorder="1" applyAlignment="1" applyProtection="1">
      <alignment horizontal="center"/>
    </xf>
    <xf numFmtId="0" fontId="3" fillId="0" borderId="0" xfId="51" applyFont="1" applyBorder="1" applyAlignment="1" applyProtection="1">
      <alignment horizontal="center" vertical="center"/>
    </xf>
    <xf numFmtId="49" fontId="6" fillId="23" borderId="16" xfId="51" applyNumberFormat="1" applyFont="1" applyFill="1" applyBorder="1" applyAlignment="1" applyProtection="1">
      <alignment horizontal="left" vertical="center" indent="1"/>
      <protection locked="0"/>
    </xf>
    <xf numFmtId="49" fontId="0" fillId="23" borderId="16" xfId="0" applyNumberFormat="1" applyFont="1" applyFill="1" applyBorder="1" applyAlignment="1" applyProtection="1">
      <alignment horizontal="left" vertical="center" indent="1"/>
      <protection locked="0"/>
    </xf>
    <xf numFmtId="0" fontId="4" fillId="0" borderId="0" xfId="51" applyFont="1" applyBorder="1" applyAlignment="1" applyProtection="1">
      <alignment horizontal="center" vertical="center"/>
    </xf>
    <xf numFmtId="0" fontId="6" fillId="0" borderId="0" xfId="51" applyFont="1" applyBorder="1" applyAlignment="1" applyProtection="1">
      <alignment horizontal="right"/>
    </xf>
    <xf numFmtId="49" fontId="6" fillId="23" borderId="18" xfId="51" applyNumberFormat="1" applyFont="1" applyFill="1" applyBorder="1" applyAlignment="1" applyProtection="1">
      <alignment horizontal="left" vertical="center" indent="1"/>
      <protection locked="0"/>
    </xf>
    <xf numFmtId="49" fontId="0" fillId="23" borderId="18" xfId="0" applyNumberFormat="1" applyFont="1" applyFill="1" applyBorder="1" applyAlignment="1" applyProtection="1">
      <alignment horizontal="left" vertical="center" indent="1"/>
      <protection locked="0"/>
    </xf>
    <xf numFmtId="0" fontId="7" fillId="0" borderId="0" xfId="0" applyFont="1" applyFill="1" applyBorder="1" applyAlignment="1" applyProtection="1">
      <alignment horizontal="left" vertical="top" wrapText="1"/>
    </xf>
    <xf numFmtId="0" fontId="0" fillId="0" borderId="0" xfId="0" applyAlignment="1">
      <alignment vertical="top" wrapText="1"/>
    </xf>
    <xf numFmtId="2" fontId="7" fillId="0" borderId="39" xfId="51" applyNumberFormat="1" applyFont="1" applyFill="1" applyBorder="1" applyAlignment="1" applyProtection="1">
      <alignment horizontal="left" vertical="top" wrapText="1"/>
    </xf>
    <xf numFmtId="0" fontId="0" fillId="0" borderId="43" xfId="0" applyBorder="1" applyAlignment="1">
      <alignment vertical="top" wrapText="1"/>
    </xf>
    <xf numFmtId="0" fontId="0" fillId="0" borderId="39" xfId="0" applyBorder="1" applyAlignment="1">
      <alignment vertical="top" wrapText="1"/>
    </xf>
    <xf numFmtId="0" fontId="0" fillId="0" borderId="0" xfId="0" applyBorder="1" applyAlignment="1">
      <alignment vertical="top" wrapText="1"/>
    </xf>
    <xf numFmtId="0" fontId="0" fillId="0" borderId="39" xfId="0" applyBorder="1" applyAlignment="1">
      <alignment wrapText="1"/>
    </xf>
    <xf numFmtId="0" fontId="0" fillId="0" borderId="0" xfId="0" applyAlignment="1">
      <alignment wrapText="1"/>
    </xf>
    <xf numFmtId="0" fontId="0" fillId="0" borderId="43" xfId="0" applyBorder="1" applyAlignment="1">
      <alignment wrapText="1"/>
    </xf>
    <xf numFmtId="0" fontId="7" fillId="0" borderId="0" xfId="51" applyNumberFormat="1" applyFont="1" applyFill="1" applyBorder="1" applyAlignment="1" applyProtection="1">
      <alignment horizontal="right" vertical="center"/>
    </xf>
    <xf numFmtId="0" fontId="51" fillId="23" borderId="12" xfId="0" applyFont="1" applyFill="1" applyBorder="1" applyAlignment="1">
      <alignment horizontal="center" vertical="center"/>
    </xf>
    <xf numFmtId="0" fontId="51" fillId="23" borderId="0" xfId="0" applyFont="1" applyFill="1" applyAlignment="1">
      <alignment horizontal="center" vertical="center"/>
    </xf>
    <xf numFmtId="49" fontId="1" fillId="26" borderId="16" xfId="51" applyNumberFormat="1" applyFont="1" applyFill="1" applyBorder="1" applyAlignment="1" applyProtection="1">
      <alignment horizontal="left" vertical="center" indent="1"/>
      <protection locked="0"/>
    </xf>
    <xf numFmtId="49" fontId="0" fillId="26" borderId="16" xfId="0" applyNumberFormat="1" applyFont="1" applyFill="1" applyBorder="1" applyAlignment="1" applyProtection="1">
      <alignment horizontal="left" vertical="center" indent="1"/>
      <protection locked="0"/>
    </xf>
    <xf numFmtId="49" fontId="57" fillId="26" borderId="16" xfId="51" applyNumberFormat="1" applyFont="1" applyFill="1" applyBorder="1" applyAlignment="1" applyProtection="1">
      <alignment horizontal="left" vertical="center" indent="1"/>
      <protection locked="0"/>
    </xf>
    <xf numFmtId="49" fontId="58" fillId="26" borderId="16" xfId="0" applyNumberFormat="1" applyFont="1" applyFill="1" applyBorder="1" applyAlignment="1" applyProtection="1">
      <alignment horizontal="left" vertical="center" indent="1"/>
      <protection locked="0"/>
    </xf>
    <xf numFmtId="0" fontId="7" fillId="23" borderId="0" xfId="51" applyNumberFormat="1" applyFont="1" applyFill="1" applyBorder="1" applyAlignment="1" applyProtection="1">
      <alignment horizontal="left" vertical="center"/>
    </xf>
    <xf numFmtId="0" fontId="0" fillId="23" borderId="0" xfId="0" applyFont="1" applyFill="1" applyAlignment="1">
      <alignment horizontal="left" vertical="center"/>
    </xf>
    <xf numFmtId="0" fontId="7" fillId="0" borderId="0" xfId="51" applyFont="1" applyFill="1" applyBorder="1" applyAlignment="1" applyProtection="1">
      <alignment horizontal="left" vertical="top" wrapText="1"/>
    </xf>
    <xf numFmtId="0" fontId="51" fillId="0" borderId="0" xfId="0" applyFont="1" applyAlignment="1">
      <alignment vertical="top" wrapText="1"/>
    </xf>
    <xf numFmtId="0" fontId="7" fillId="0" borderId="0" xfId="51" applyFont="1" applyAlignment="1" applyProtection="1">
      <alignment horizontal="left" vertical="top" wrapText="1"/>
    </xf>
    <xf numFmtId="2" fontId="6" fillId="0" borderId="0" xfId="51" applyNumberFormat="1" applyFont="1" applyFill="1" applyBorder="1" applyAlignment="1" applyProtection="1">
      <alignment horizontal="left" vertical="center"/>
    </xf>
    <xf numFmtId="0" fontId="0" fillId="0" borderId="0" xfId="0" applyAlignment="1"/>
    <xf numFmtId="2" fontId="13" fillId="0" borderId="0" xfId="51" applyNumberFormat="1" applyFont="1" applyFill="1" applyBorder="1" applyAlignment="1" applyProtection="1">
      <alignment horizontal="center"/>
    </xf>
    <xf numFmtId="0" fontId="5" fillId="0" borderId="0" xfId="0" applyFont="1" applyFill="1" applyBorder="1" applyAlignment="1">
      <alignment horizontal="center"/>
    </xf>
    <xf numFmtId="0" fontId="13" fillId="0" borderId="0" xfId="51" applyFont="1" applyFill="1" applyBorder="1" applyAlignment="1" applyProtection="1">
      <alignment horizontal="center"/>
    </xf>
    <xf numFmtId="0" fontId="7" fillId="0" borderId="0" xfId="0" applyFont="1" applyFill="1" applyBorder="1" applyAlignment="1"/>
    <xf numFmtId="0" fontId="13" fillId="18" borderId="22" xfId="51" applyFont="1" applyFill="1" applyBorder="1" applyAlignment="1" applyProtection="1">
      <alignment horizontal="center"/>
    </xf>
    <xf numFmtId="0" fontId="7" fillId="0" borderId="33" xfId="0" applyFont="1" applyBorder="1" applyAlignment="1"/>
    <xf numFmtId="0" fontId="13" fillId="24" borderId="44" xfId="51" applyFont="1" applyFill="1" applyBorder="1" applyAlignment="1">
      <alignment horizontal="center"/>
    </xf>
    <xf numFmtId="0" fontId="51" fillId="24" borderId="45" xfId="0" applyFont="1" applyFill="1" applyBorder="1" applyAlignment="1">
      <alignment horizontal="center"/>
    </xf>
    <xf numFmtId="0" fontId="13" fillId="0" borderId="0" xfId="51" applyFont="1" applyFill="1" applyBorder="1" applyAlignment="1">
      <alignment horizontal="center"/>
    </xf>
  </cellXfs>
  <cellStyles count="86">
    <cellStyle name="20% - Énfasis1" xfId="1"/>
    <cellStyle name="20% - Énfasis2" xfId="2"/>
    <cellStyle name="20% - Énfasis3" xfId="3"/>
    <cellStyle name="20% - Énfasis4" xfId="4"/>
    <cellStyle name="20% - Énfasis5" xfId="5"/>
    <cellStyle name="20% - Énfasis6" xfId="6"/>
    <cellStyle name="20% - アクセント 1" xfId="7"/>
    <cellStyle name="20% - アクセント 2" xfId="8"/>
    <cellStyle name="20% - アクセント 3" xfId="9"/>
    <cellStyle name="20% - アクセント 4" xfId="10"/>
    <cellStyle name="20% - アクセント 5" xfId="11"/>
    <cellStyle name="20% - アクセント 6" xfId="12"/>
    <cellStyle name="40% - Énfasis1" xfId="13"/>
    <cellStyle name="40% - Énfasis2" xfId="14"/>
    <cellStyle name="40% - Énfasis3" xfId="15"/>
    <cellStyle name="40% - Énfasis4" xfId="16"/>
    <cellStyle name="40% - Énfasis5" xfId="17"/>
    <cellStyle name="40% - Énfasis6" xfId="18"/>
    <cellStyle name="40% - アクセント 1" xfId="19"/>
    <cellStyle name="40% - アクセント 2" xfId="20"/>
    <cellStyle name="40% - アクセント 3" xfId="21"/>
    <cellStyle name="40% - アクセント 4" xfId="22"/>
    <cellStyle name="40% - アクセント 5" xfId="23"/>
    <cellStyle name="40% - アクセント 6" xfId="24"/>
    <cellStyle name="60% - Énfasis1" xfId="25"/>
    <cellStyle name="60% - Énfasis2" xfId="26"/>
    <cellStyle name="60% - Énfasis3" xfId="27"/>
    <cellStyle name="60% - Énfasis4" xfId="28"/>
    <cellStyle name="60% - Énfasis5" xfId="29"/>
    <cellStyle name="60% - Énfasis6" xfId="30"/>
    <cellStyle name="60% - アクセント 1" xfId="31"/>
    <cellStyle name="60% - アクセント 2" xfId="32"/>
    <cellStyle name="60% - アクセント 3" xfId="33"/>
    <cellStyle name="60% - アクセント 4" xfId="34"/>
    <cellStyle name="60% - アクセント 5" xfId="35"/>
    <cellStyle name="60% - アクセント 6" xfId="36"/>
    <cellStyle name="Buena" xfId="37"/>
    <cellStyle name="Cálculo" xfId="38"/>
    <cellStyle name="Celda de comprobación" xfId="39"/>
    <cellStyle name="Celda vinculada" xfId="40"/>
    <cellStyle name="Encabezado 4" xfId="41"/>
    <cellStyle name="Énfasis1" xfId="42"/>
    <cellStyle name="Énfasis2" xfId="43"/>
    <cellStyle name="Énfasis3" xfId="44"/>
    <cellStyle name="Énfasis4" xfId="45"/>
    <cellStyle name="Énfasis5" xfId="46"/>
    <cellStyle name="Énfasis6" xfId="47"/>
    <cellStyle name="Entrada" xfId="48"/>
    <cellStyle name="Hyperlink" xfId="49" builtinId="8"/>
    <cellStyle name="Incorrecto" xfId="50"/>
    <cellStyle name="Normal" xfId="0" builtinId="0"/>
    <cellStyle name="Normal 2" xfId="51"/>
    <cellStyle name="Normal 2 2" xfId="52"/>
    <cellStyle name="Normal 3" xfId="53"/>
    <cellStyle name="Notas" xfId="54"/>
    <cellStyle name="Salida" xfId="55"/>
    <cellStyle name="Texto de advertencia" xfId="56"/>
    <cellStyle name="Texto explicativo" xfId="57"/>
    <cellStyle name="Título" xfId="58"/>
    <cellStyle name="Título 1" xfId="59"/>
    <cellStyle name="Título 2" xfId="60"/>
    <cellStyle name="Título 3" xfId="61"/>
    <cellStyle name="Título_Lang Boat" xfId="62"/>
    <cellStyle name="アクセント 1" xfId="63"/>
    <cellStyle name="アクセント 2" xfId="64"/>
    <cellStyle name="アクセント 3" xfId="65"/>
    <cellStyle name="アクセント 4" xfId="66"/>
    <cellStyle name="アクセント 5" xfId="67"/>
    <cellStyle name="アクセント 6" xfId="68"/>
    <cellStyle name="タイトル" xfId="69"/>
    <cellStyle name="チェック セル" xfId="70"/>
    <cellStyle name="どちらでもない" xfId="71"/>
    <cellStyle name="メモ" xfId="72"/>
    <cellStyle name="リンク セル" xfId="73"/>
    <cellStyle name="入力" xfId="74"/>
    <cellStyle name="出力" xfId="75"/>
    <cellStyle name="悪い" xfId="76"/>
    <cellStyle name="良い" xfId="77"/>
    <cellStyle name="見出し 1" xfId="78"/>
    <cellStyle name="見出し 2" xfId="79"/>
    <cellStyle name="見出し 3" xfId="80"/>
    <cellStyle name="見出し 4" xfId="81"/>
    <cellStyle name="計算" xfId="82"/>
    <cellStyle name="説明文" xfId="83"/>
    <cellStyle name="警告文" xfId="84"/>
    <cellStyle name="集計" xfId="85"/>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Dummy Hor</c:v>
          </c:tx>
          <c:spPr>
            <a:ln>
              <a:noFill/>
            </a:ln>
          </c:spPr>
          <c:marker>
            <c:symbol val="none"/>
          </c:marker>
          <c:xVal>
            <c:numRef>
              <c:f>'Calcs-1'!$N$17:$N$18</c:f>
              <c:numCache>
                <c:formatCode>0.00</c:formatCode>
                <c:ptCount val="2"/>
                <c:pt idx="0">
                  <c:v>0</c:v>
                </c:pt>
                <c:pt idx="1">
                  <c:v>0</c:v>
                </c:pt>
              </c:numCache>
            </c:numRef>
          </c:xVal>
          <c:yVal>
            <c:numRef>
              <c:f>'Calcs-1'!$O$17:$O$18</c:f>
              <c:numCache>
                <c:formatCode>0.00</c:formatCode>
                <c:ptCount val="2"/>
                <c:pt idx="0">
                  <c:v>0</c:v>
                </c:pt>
                <c:pt idx="1">
                  <c:v>0</c:v>
                </c:pt>
              </c:numCache>
            </c:numRef>
          </c:yVal>
          <c:smooth val="1"/>
        </c:ser>
        <c:ser>
          <c:idx val="1"/>
          <c:order val="1"/>
          <c:tx>
            <c:v>Dummy Vert</c:v>
          </c:tx>
          <c:spPr>
            <a:ln>
              <a:noFill/>
            </a:ln>
          </c:spPr>
          <c:marker>
            <c:symbol val="none"/>
          </c:marker>
          <c:xVal>
            <c:numRef>
              <c:f>'Calcs-1'!$N$19:$N$20</c:f>
              <c:numCache>
                <c:formatCode>0.00</c:formatCode>
                <c:ptCount val="2"/>
                <c:pt idx="0">
                  <c:v>0</c:v>
                </c:pt>
                <c:pt idx="1">
                  <c:v>0</c:v>
                </c:pt>
              </c:numCache>
            </c:numRef>
          </c:xVal>
          <c:yVal>
            <c:numRef>
              <c:f>'Calcs-1'!$O$19:$O$20</c:f>
              <c:numCache>
                <c:formatCode>0.00</c:formatCode>
                <c:ptCount val="2"/>
                <c:pt idx="0">
                  <c:v>0</c:v>
                </c:pt>
                <c:pt idx="1">
                  <c:v>0</c:v>
                </c:pt>
              </c:numCache>
            </c:numRef>
          </c:yVal>
          <c:smooth val="1"/>
        </c:ser>
        <c:ser>
          <c:idx val="2"/>
          <c:order val="2"/>
          <c:tx>
            <c:v>Luff</c:v>
          </c:tx>
          <c:spPr>
            <a:ln w="12700">
              <a:solidFill>
                <a:schemeClr val="tx1"/>
              </a:solidFill>
            </a:ln>
          </c:spPr>
          <c:marker>
            <c:symbol val="none"/>
          </c:marker>
          <c:xVal>
            <c:numRef>
              <c:f>'Calcs-1'!$J$8:$J$14</c:f>
              <c:numCache>
                <c:formatCode>0.00</c:formatCode>
                <c:ptCount val="7"/>
                <c:pt idx="0">
                  <c:v>0</c:v>
                </c:pt>
                <c:pt idx="1">
                  <c:v>0</c:v>
                </c:pt>
                <c:pt idx="2">
                  <c:v>0</c:v>
                </c:pt>
                <c:pt idx="3">
                  <c:v>0</c:v>
                </c:pt>
                <c:pt idx="4">
                  <c:v>0</c:v>
                </c:pt>
                <c:pt idx="5">
                  <c:v>0</c:v>
                </c:pt>
                <c:pt idx="6">
                  <c:v>0</c:v>
                </c:pt>
              </c:numCache>
            </c:numRef>
          </c:xVal>
          <c:yVal>
            <c:numRef>
              <c:f>'Calcs-1'!$K$8:$K$14</c:f>
              <c:numCache>
                <c:formatCode>0.00</c:formatCode>
                <c:ptCount val="7"/>
                <c:pt idx="0">
                  <c:v>0</c:v>
                </c:pt>
                <c:pt idx="1">
                  <c:v>0</c:v>
                </c:pt>
                <c:pt idx="2">
                  <c:v>0</c:v>
                </c:pt>
                <c:pt idx="3">
                  <c:v>0</c:v>
                </c:pt>
                <c:pt idx="4">
                  <c:v>0</c:v>
                </c:pt>
                <c:pt idx="5">
                  <c:v>0</c:v>
                </c:pt>
                <c:pt idx="6">
                  <c:v>0</c:v>
                </c:pt>
              </c:numCache>
            </c:numRef>
          </c:yVal>
          <c:smooth val="1"/>
        </c:ser>
        <c:ser>
          <c:idx val="3"/>
          <c:order val="3"/>
          <c:tx>
            <c:v>Head</c:v>
          </c:tx>
          <c:spPr>
            <a:ln w="12700">
              <a:solidFill>
                <a:schemeClr val="tx1"/>
              </a:solidFill>
            </a:ln>
          </c:spPr>
          <c:marker>
            <c:symbol val="none"/>
          </c:marker>
          <c:xVal>
            <c:numRef>
              <c:f>'Calcs-1'!$J$16:$J$17</c:f>
              <c:numCache>
                <c:formatCode>0.00</c:formatCode>
                <c:ptCount val="2"/>
                <c:pt idx="0">
                  <c:v>0</c:v>
                </c:pt>
                <c:pt idx="1">
                  <c:v>0</c:v>
                </c:pt>
              </c:numCache>
            </c:numRef>
          </c:xVal>
          <c:yVal>
            <c:numRef>
              <c:f>'Calcs-1'!$K$16:$K$17</c:f>
              <c:numCache>
                <c:formatCode>0.00</c:formatCode>
                <c:ptCount val="2"/>
                <c:pt idx="0">
                  <c:v>0</c:v>
                </c:pt>
                <c:pt idx="1">
                  <c:v>0</c:v>
                </c:pt>
              </c:numCache>
            </c:numRef>
          </c:yVal>
          <c:smooth val="1"/>
        </c:ser>
        <c:ser>
          <c:idx val="4"/>
          <c:order val="4"/>
          <c:tx>
            <c:v>Leech</c:v>
          </c:tx>
          <c:spPr>
            <a:ln w="12700">
              <a:solidFill>
                <a:schemeClr val="tx1"/>
              </a:solidFill>
            </a:ln>
          </c:spPr>
          <c:marker>
            <c:symbol val="none"/>
          </c:marker>
          <c:xVal>
            <c:numRef>
              <c:f>'Calcs-1'!$J$19:$J$24</c:f>
              <c:numCache>
                <c:formatCode>0.00</c:formatCode>
                <c:ptCount val="6"/>
                <c:pt idx="0">
                  <c:v>0</c:v>
                </c:pt>
                <c:pt idx="1">
                  <c:v>0</c:v>
                </c:pt>
                <c:pt idx="2">
                  <c:v>0</c:v>
                </c:pt>
                <c:pt idx="3">
                  <c:v>0</c:v>
                </c:pt>
                <c:pt idx="4">
                  <c:v>0</c:v>
                </c:pt>
                <c:pt idx="5">
                  <c:v>0</c:v>
                </c:pt>
              </c:numCache>
            </c:numRef>
          </c:xVal>
          <c:yVal>
            <c:numRef>
              <c:f>'Calcs-1'!$K$19:$K$24</c:f>
              <c:numCache>
                <c:formatCode>0.00</c:formatCode>
                <c:ptCount val="6"/>
                <c:pt idx="0">
                  <c:v>0</c:v>
                </c:pt>
                <c:pt idx="1">
                  <c:v>0</c:v>
                </c:pt>
                <c:pt idx="2">
                  <c:v>0</c:v>
                </c:pt>
                <c:pt idx="3">
                  <c:v>0</c:v>
                </c:pt>
                <c:pt idx="4">
                  <c:v>0</c:v>
                </c:pt>
                <c:pt idx="5">
                  <c:v>0</c:v>
                </c:pt>
              </c:numCache>
            </c:numRef>
          </c:yVal>
          <c:smooth val="1"/>
        </c:ser>
        <c:ser>
          <c:idx val="5"/>
          <c:order val="5"/>
          <c:tx>
            <c:v>Foot</c:v>
          </c:tx>
          <c:spPr>
            <a:ln w="12700">
              <a:solidFill>
                <a:schemeClr val="tx1"/>
              </a:solidFill>
            </a:ln>
          </c:spPr>
          <c:marker>
            <c:symbol val="none"/>
          </c:marker>
          <c:xVal>
            <c:numRef>
              <c:f>'Calcs-1'!$J$40:$J$42</c:f>
              <c:numCache>
                <c:formatCode>0.00</c:formatCode>
                <c:ptCount val="3"/>
                <c:pt idx="0">
                  <c:v>0</c:v>
                </c:pt>
                <c:pt idx="1">
                  <c:v>0</c:v>
                </c:pt>
                <c:pt idx="2">
                  <c:v>0</c:v>
                </c:pt>
              </c:numCache>
            </c:numRef>
          </c:xVal>
          <c:yVal>
            <c:numRef>
              <c:f>'Calcs-1'!$K$40:$K$42</c:f>
              <c:numCache>
                <c:formatCode>0.00</c:formatCode>
                <c:ptCount val="3"/>
                <c:pt idx="0">
                  <c:v>0</c:v>
                </c:pt>
                <c:pt idx="1">
                  <c:v>0</c:v>
                </c:pt>
                <c:pt idx="2">
                  <c:v>0</c:v>
                </c:pt>
              </c:numCache>
            </c:numRef>
          </c:yVal>
          <c:smooth val="1"/>
        </c:ser>
        <c:ser>
          <c:idx val="6"/>
          <c:order val="6"/>
          <c:tx>
            <c:v>LP</c:v>
          </c:tx>
          <c:spPr>
            <a:ln w="12700">
              <a:solidFill>
                <a:srgbClr val="FF0000"/>
              </a:solidFill>
              <a:prstDash val="dash"/>
              <a:headEnd type="triangle"/>
            </a:ln>
          </c:spPr>
          <c:marker>
            <c:symbol val="none"/>
          </c:marker>
          <c:xVal>
            <c:numRef>
              <c:f>'Calcs-1'!$J$29:$J$30</c:f>
              <c:numCache>
                <c:formatCode>0.00</c:formatCode>
                <c:ptCount val="2"/>
                <c:pt idx="0">
                  <c:v>0</c:v>
                </c:pt>
                <c:pt idx="1">
                  <c:v>0</c:v>
                </c:pt>
              </c:numCache>
            </c:numRef>
          </c:xVal>
          <c:yVal>
            <c:numRef>
              <c:f>'Calcs-1'!$K$29:$K$30</c:f>
              <c:numCache>
                <c:formatCode>0.00</c:formatCode>
                <c:ptCount val="2"/>
                <c:pt idx="0">
                  <c:v>0</c:v>
                </c:pt>
                <c:pt idx="1">
                  <c:v>0</c:v>
                </c:pt>
              </c:numCache>
            </c:numRef>
          </c:yVal>
          <c:smooth val="1"/>
        </c:ser>
        <c:ser>
          <c:idx val="7"/>
          <c:order val="7"/>
          <c:tx>
            <c:strRef>
              <c:f>'Calcs-1'!$I$31</c:f>
              <c:strCache>
                <c:ptCount val="1"/>
                <c:pt idx="0">
                  <c:v>Qtr Wid</c:v>
                </c:pt>
              </c:strCache>
            </c:strRef>
          </c:tx>
          <c:spPr>
            <a:ln w="12700">
              <a:solidFill>
                <a:srgbClr val="FF0000"/>
              </a:solidFill>
              <a:prstDash val="dash"/>
              <a:headEnd type="triangle"/>
            </a:ln>
          </c:spPr>
          <c:marker>
            <c:symbol val="none"/>
          </c:marker>
          <c:xVal>
            <c:numRef>
              <c:f>'Calcs-1'!$J$31:$J$32</c:f>
              <c:numCache>
                <c:formatCode>0.00</c:formatCode>
                <c:ptCount val="2"/>
                <c:pt idx="0">
                  <c:v>0</c:v>
                </c:pt>
                <c:pt idx="1">
                  <c:v>0</c:v>
                </c:pt>
              </c:numCache>
            </c:numRef>
          </c:xVal>
          <c:yVal>
            <c:numRef>
              <c:f>'Calcs-1'!$K$31:$K$32</c:f>
              <c:numCache>
                <c:formatCode>0.00</c:formatCode>
                <c:ptCount val="2"/>
                <c:pt idx="0">
                  <c:v>0</c:v>
                </c:pt>
                <c:pt idx="1">
                  <c:v>0</c:v>
                </c:pt>
              </c:numCache>
            </c:numRef>
          </c:yVal>
          <c:smooth val="1"/>
        </c:ser>
        <c:ser>
          <c:idx val="8"/>
          <c:order val="8"/>
          <c:tx>
            <c:strRef>
              <c:f>'Calcs-1'!$I$33</c:f>
              <c:strCache>
                <c:ptCount val="1"/>
                <c:pt idx="0">
                  <c:v>Half Wid</c:v>
                </c:pt>
              </c:strCache>
            </c:strRef>
          </c:tx>
          <c:spPr>
            <a:ln w="12700">
              <a:solidFill>
                <a:srgbClr val="FF0000"/>
              </a:solidFill>
              <a:prstDash val="dash"/>
              <a:headEnd type="triangle"/>
            </a:ln>
          </c:spPr>
          <c:marker>
            <c:symbol val="none"/>
          </c:marker>
          <c:xVal>
            <c:numRef>
              <c:f>'Calcs-1'!$J$33:$J$34</c:f>
              <c:numCache>
                <c:formatCode>0.00</c:formatCode>
                <c:ptCount val="2"/>
                <c:pt idx="0">
                  <c:v>0</c:v>
                </c:pt>
                <c:pt idx="1">
                  <c:v>0</c:v>
                </c:pt>
              </c:numCache>
            </c:numRef>
          </c:xVal>
          <c:yVal>
            <c:numRef>
              <c:f>'Calcs-1'!$K$33:$K$34</c:f>
              <c:numCache>
                <c:formatCode>0.00</c:formatCode>
                <c:ptCount val="2"/>
                <c:pt idx="0">
                  <c:v>0</c:v>
                </c:pt>
                <c:pt idx="1">
                  <c:v>0</c:v>
                </c:pt>
              </c:numCache>
            </c:numRef>
          </c:yVal>
          <c:smooth val="1"/>
        </c:ser>
        <c:ser>
          <c:idx val="9"/>
          <c:order val="9"/>
          <c:tx>
            <c:strRef>
              <c:f>'Calcs-1'!$I$35</c:f>
              <c:strCache>
                <c:ptCount val="1"/>
                <c:pt idx="0">
                  <c:v>3/4 Wid</c:v>
                </c:pt>
              </c:strCache>
            </c:strRef>
          </c:tx>
          <c:spPr>
            <a:ln w="12700">
              <a:solidFill>
                <a:srgbClr val="FF0000"/>
              </a:solidFill>
              <a:prstDash val="dash"/>
              <a:headEnd type="triangle"/>
            </a:ln>
          </c:spPr>
          <c:marker>
            <c:symbol val="none"/>
          </c:marker>
          <c:xVal>
            <c:numRef>
              <c:f>'Calcs-1'!$J$35:$J$36</c:f>
              <c:numCache>
                <c:formatCode>0.00</c:formatCode>
                <c:ptCount val="2"/>
                <c:pt idx="0">
                  <c:v>0</c:v>
                </c:pt>
                <c:pt idx="1">
                  <c:v>0</c:v>
                </c:pt>
              </c:numCache>
            </c:numRef>
          </c:xVal>
          <c:yVal>
            <c:numRef>
              <c:f>'Calcs-1'!$K$35:$K$36</c:f>
              <c:numCache>
                <c:formatCode>0.00</c:formatCode>
                <c:ptCount val="2"/>
                <c:pt idx="0">
                  <c:v>0</c:v>
                </c:pt>
                <c:pt idx="1">
                  <c:v>0</c:v>
                </c:pt>
              </c:numCache>
            </c:numRef>
          </c:yVal>
          <c:smooth val="1"/>
        </c:ser>
        <c:ser>
          <c:idx val="10"/>
          <c:order val="10"/>
          <c:tx>
            <c:strRef>
              <c:f>'Calcs-1'!$I$37</c:f>
              <c:strCache>
                <c:ptCount val="1"/>
                <c:pt idx="0">
                  <c:v>7/8 Wid</c:v>
                </c:pt>
              </c:strCache>
            </c:strRef>
          </c:tx>
          <c:spPr>
            <a:ln w="12700">
              <a:solidFill>
                <a:srgbClr val="FF0000"/>
              </a:solidFill>
              <a:prstDash val="dash"/>
              <a:headEnd type="triangle"/>
              <a:tailEnd type="none"/>
            </a:ln>
          </c:spPr>
          <c:marker>
            <c:symbol val="none"/>
          </c:marker>
          <c:xVal>
            <c:numRef>
              <c:f>'Calcs-1'!$J$37:$J$38</c:f>
              <c:numCache>
                <c:formatCode>0.00</c:formatCode>
                <c:ptCount val="2"/>
                <c:pt idx="0">
                  <c:v>0</c:v>
                </c:pt>
                <c:pt idx="1">
                  <c:v>0</c:v>
                </c:pt>
              </c:numCache>
            </c:numRef>
          </c:xVal>
          <c:yVal>
            <c:numRef>
              <c:f>'Calcs-1'!$K$37:$K$38</c:f>
              <c:numCache>
                <c:formatCode>0.00</c:formatCode>
                <c:ptCount val="2"/>
                <c:pt idx="0">
                  <c:v>0</c:v>
                </c:pt>
                <c:pt idx="1">
                  <c:v>0</c:v>
                </c:pt>
              </c:numCache>
            </c:numRef>
          </c:yVal>
          <c:smooth val="1"/>
        </c:ser>
        <c:ser>
          <c:idx val="11"/>
          <c:order val="11"/>
          <c:tx>
            <c:strRef>
              <c:f>'Calcs-1'!$C$52</c:f>
              <c:strCache>
                <c:ptCount val="1"/>
                <c:pt idx="0">
                  <c:v>7/8 Arc</c:v>
                </c:pt>
              </c:strCache>
            </c:strRef>
          </c:tx>
          <c:spPr>
            <a:ln w="12700">
              <a:solidFill>
                <a:srgbClr val="FF0000"/>
              </a:solidFill>
              <a:prstDash val="sysDash"/>
            </a:ln>
          </c:spPr>
          <c:marker>
            <c:symbol val="none"/>
          </c:marker>
          <c:xVal>
            <c:numRef>
              <c:f>'Calcs-1'!$G$53:$G$63</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xVal>
          <c:yVal>
            <c:numRef>
              <c:f>'Calcs-1'!$H$53:$H$63</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12"/>
          <c:order val="12"/>
          <c:tx>
            <c:strRef>
              <c:f>'Calcs-1'!$C$65</c:f>
              <c:strCache>
                <c:ptCount val="1"/>
                <c:pt idx="0">
                  <c:v>3/4 Arc</c:v>
                </c:pt>
              </c:strCache>
            </c:strRef>
          </c:tx>
          <c:spPr>
            <a:ln w="12700">
              <a:solidFill>
                <a:srgbClr val="FF0000"/>
              </a:solidFill>
              <a:prstDash val="sysDash"/>
            </a:ln>
          </c:spPr>
          <c:marker>
            <c:symbol val="none"/>
          </c:marker>
          <c:xVal>
            <c:numRef>
              <c:f>'Calcs-1'!$G$66:$G$76</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xVal>
          <c:yVal>
            <c:numRef>
              <c:f>'Calcs-1'!$H$66:$H$76</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13"/>
          <c:order val="13"/>
          <c:tx>
            <c:strRef>
              <c:f>'Calcs-1'!$C$78</c:f>
              <c:strCache>
                <c:ptCount val="1"/>
                <c:pt idx="0">
                  <c:v>1/2 Arc</c:v>
                </c:pt>
              </c:strCache>
            </c:strRef>
          </c:tx>
          <c:spPr>
            <a:ln w="12700">
              <a:solidFill>
                <a:srgbClr val="FF0000"/>
              </a:solidFill>
              <a:prstDash val="sysDash"/>
            </a:ln>
          </c:spPr>
          <c:marker>
            <c:symbol val="none"/>
          </c:marker>
          <c:xVal>
            <c:numRef>
              <c:f>'Calcs-1'!$G$79:$G$89</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xVal>
          <c:yVal>
            <c:numRef>
              <c:f>'Calcs-1'!$H$79:$H$89</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14"/>
          <c:order val="14"/>
          <c:tx>
            <c:strRef>
              <c:f>'Calcs-1'!$C$91</c:f>
              <c:strCache>
                <c:ptCount val="1"/>
                <c:pt idx="0">
                  <c:v>1/4 Arc</c:v>
                </c:pt>
              </c:strCache>
            </c:strRef>
          </c:tx>
          <c:spPr>
            <a:ln w="12700">
              <a:solidFill>
                <a:srgbClr val="FF0000"/>
              </a:solidFill>
              <a:prstDash val="sysDash"/>
            </a:ln>
          </c:spPr>
          <c:marker>
            <c:symbol val="none"/>
          </c:marker>
          <c:xVal>
            <c:numRef>
              <c:f>'Calcs-1'!$G$92:$G$102</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xVal>
          <c:yVal>
            <c:numRef>
              <c:f>'Calcs-1'!$H$92:$H$102</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15"/>
          <c:order val="15"/>
          <c:tx>
            <c:strRef>
              <c:f>'Calcs-1'!$C$104</c:f>
              <c:strCache>
                <c:ptCount val="1"/>
                <c:pt idx="0">
                  <c:v>LP</c:v>
                </c:pt>
              </c:strCache>
            </c:strRef>
          </c:tx>
          <c:spPr>
            <a:ln w="12700">
              <a:solidFill>
                <a:srgbClr val="FF0000"/>
              </a:solidFill>
              <a:prstDash val="sysDash"/>
            </a:ln>
          </c:spPr>
          <c:marker>
            <c:symbol val="none"/>
          </c:marker>
          <c:xVal>
            <c:numRef>
              <c:f>'Calcs-1'!$G$105:$G$115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xVal>
          <c:yVal>
            <c:numRef>
              <c:f>'Calcs-1'!$H$105:$H$115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ser>
          <c:idx val="17"/>
          <c:order val="16"/>
          <c:tx>
            <c:v>LLTopTick</c:v>
          </c:tx>
          <c:spPr>
            <a:ln w="12700">
              <a:solidFill>
                <a:schemeClr val="tx1"/>
              </a:solidFill>
            </a:ln>
          </c:spPr>
          <c:marker>
            <c:symbol val="none"/>
          </c:marker>
          <c:xVal>
            <c:numRef>
              <c:f>'Calcs-1'!$H$129:$H$130</c:f>
              <c:numCache>
                <c:formatCode>0.00</c:formatCode>
                <c:ptCount val="2"/>
                <c:pt idx="0">
                  <c:v>0</c:v>
                </c:pt>
                <c:pt idx="1">
                  <c:v>0</c:v>
                </c:pt>
              </c:numCache>
            </c:numRef>
          </c:xVal>
          <c:yVal>
            <c:numRef>
              <c:f>'Calcs-1'!$I$129:$I$130</c:f>
              <c:numCache>
                <c:formatCode>0.00</c:formatCode>
                <c:ptCount val="2"/>
                <c:pt idx="0">
                  <c:v>0</c:v>
                </c:pt>
                <c:pt idx="1">
                  <c:v>0</c:v>
                </c:pt>
              </c:numCache>
            </c:numRef>
          </c:yVal>
          <c:smooth val="1"/>
        </c:ser>
        <c:ser>
          <c:idx val="18"/>
          <c:order val="17"/>
          <c:tx>
            <c:v>LLBotTick</c:v>
          </c:tx>
          <c:spPr>
            <a:ln w="12700">
              <a:solidFill>
                <a:schemeClr val="tx1"/>
              </a:solidFill>
            </a:ln>
          </c:spPr>
          <c:marker>
            <c:symbol val="none"/>
          </c:marker>
          <c:xVal>
            <c:numRef>
              <c:f>'Calcs-1'!$H$131:$H$132</c:f>
              <c:numCache>
                <c:formatCode>0.00</c:formatCode>
                <c:ptCount val="2"/>
                <c:pt idx="0">
                  <c:v>0</c:v>
                </c:pt>
                <c:pt idx="1">
                  <c:v>0</c:v>
                </c:pt>
              </c:numCache>
            </c:numRef>
          </c:xVal>
          <c:yVal>
            <c:numRef>
              <c:f>'Calcs-1'!$I$131:$I$132</c:f>
              <c:numCache>
                <c:formatCode>0.00</c:formatCode>
                <c:ptCount val="2"/>
                <c:pt idx="0">
                  <c:v>0</c:v>
                </c:pt>
                <c:pt idx="1">
                  <c:v>0</c:v>
                </c:pt>
              </c:numCache>
            </c:numRef>
          </c:yVal>
          <c:smooth val="1"/>
        </c:ser>
        <c:ser>
          <c:idx val="19"/>
          <c:order val="18"/>
          <c:tx>
            <c:v>LLDim</c:v>
          </c:tx>
          <c:spPr>
            <a:ln w="12700">
              <a:solidFill>
                <a:srgbClr val="FF0000"/>
              </a:solidFill>
              <a:prstDash val="dash"/>
              <a:headEnd type="triangle"/>
              <a:tailEnd type="triangle"/>
            </a:ln>
          </c:spPr>
          <c:marker>
            <c:symbol val="none"/>
          </c:marker>
          <c:xVal>
            <c:numRef>
              <c:f>'Calcs-1'!$H$133:$H$134</c:f>
              <c:numCache>
                <c:formatCode>0.00</c:formatCode>
                <c:ptCount val="2"/>
                <c:pt idx="0">
                  <c:v>0</c:v>
                </c:pt>
                <c:pt idx="1">
                  <c:v>0</c:v>
                </c:pt>
              </c:numCache>
            </c:numRef>
          </c:xVal>
          <c:yVal>
            <c:numRef>
              <c:f>'Calcs-1'!$I$133:$I$134</c:f>
              <c:numCache>
                <c:formatCode>0.00</c:formatCode>
                <c:ptCount val="2"/>
                <c:pt idx="0">
                  <c:v>0</c:v>
                </c:pt>
                <c:pt idx="1">
                  <c:v>0</c:v>
                </c:pt>
              </c:numCache>
            </c:numRef>
          </c:yVal>
          <c:smooth val="1"/>
        </c:ser>
        <c:ser>
          <c:idx val="20"/>
          <c:order val="19"/>
          <c:tx>
            <c:strRef>
              <c:f>'Calcs-1'!$C$21</c:f>
              <c:strCache>
                <c:ptCount val="1"/>
              </c:strCache>
            </c:strRef>
          </c:tx>
          <c:spPr>
            <a:ln w="28575">
              <a:noFill/>
            </a:ln>
          </c:spPr>
          <c:marker>
            <c:symbol val="none"/>
          </c:marker>
          <c:dLbls>
            <c:spPr>
              <a:noFill/>
              <a:ln w="25400">
                <a:noFill/>
              </a:ln>
            </c:spPr>
            <c:txPr>
              <a:bodyPr rot="444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'Calcs-1'!$E$21</c:f>
              <c:numCache>
                <c:formatCode>0.00</c:formatCode>
                <c:ptCount val="1"/>
                <c:pt idx="0">
                  <c:v>0</c:v>
                </c:pt>
              </c:numCache>
            </c:numRef>
          </c:xVal>
          <c:yVal>
            <c:numRef>
              <c:f>'Calcs-1'!$F$21</c:f>
              <c:numCache>
                <c:formatCode>0.00</c:formatCode>
                <c:ptCount val="1"/>
                <c:pt idx="0">
                  <c:v>0</c:v>
                </c:pt>
              </c:numCache>
            </c:numRef>
          </c:yVal>
          <c:smooth val="1"/>
        </c:ser>
        <c:ser>
          <c:idx val="21"/>
          <c:order val="20"/>
          <c:tx>
            <c:v>TWRightTick</c:v>
          </c:tx>
          <c:spPr>
            <a:ln w="12700">
              <a:solidFill>
                <a:schemeClr val="tx1"/>
              </a:solidFill>
            </a:ln>
          </c:spPr>
          <c:marker>
            <c:symbol val="none"/>
          </c:marker>
          <c:xVal>
            <c:numRef>
              <c:f>'Calcs-1'!$H$120:$H$121</c:f>
              <c:numCache>
                <c:formatCode>0.00</c:formatCode>
                <c:ptCount val="2"/>
                <c:pt idx="0">
                  <c:v>0</c:v>
                </c:pt>
                <c:pt idx="1">
                  <c:v>0</c:v>
                </c:pt>
              </c:numCache>
            </c:numRef>
          </c:xVal>
          <c:yVal>
            <c:numRef>
              <c:f>'Calcs-1'!$I$120:$I$121</c:f>
              <c:numCache>
                <c:formatCode>0.00</c:formatCode>
                <c:ptCount val="2"/>
                <c:pt idx="0">
                  <c:v>0</c:v>
                </c:pt>
                <c:pt idx="1">
                  <c:v>0</c:v>
                </c:pt>
              </c:numCache>
            </c:numRef>
          </c:yVal>
          <c:smooth val="1"/>
        </c:ser>
        <c:ser>
          <c:idx val="22"/>
          <c:order val="21"/>
          <c:tx>
            <c:v>TWLeftTick</c:v>
          </c:tx>
          <c:spPr>
            <a:ln w="12700">
              <a:solidFill>
                <a:schemeClr val="tx1"/>
              </a:solidFill>
            </a:ln>
          </c:spPr>
          <c:marker>
            <c:symbol val="none"/>
          </c:marker>
          <c:xVal>
            <c:numRef>
              <c:f>'Calcs-1'!$H$122:$H$123</c:f>
              <c:numCache>
                <c:formatCode>0.00</c:formatCode>
                <c:ptCount val="2"/>
                <c:pt idx="0">
                  <c:v>0</c:v>
                </c:pt>
                <c:pt idx="1">
                  <c:v>0</c:v>
                </c:pt>
              </c:numCache>
            </c:numRef>
          </c:xVal>
          <c:yVal>
            <c:numRef>
              <c:f>'Calcs-1'!$I$122:$I$123</c:f>
              <c:numCache>
                <c:formatCode>0.00</c:formatCode>
                <c:ptCount val="2"/>
                <c:pt idx="0">
                  <c:v>0</c:v>
                </c:pt>
                <c:pt idx="1">
                  <c:v>0</c:v>
                </c:pt>
              </c:numCache>
            </c:numRef>
          </c:yVal>
          <c:smooth val="1"/>
        </c:ser>
        <c:ser>
          <c:idx val="23"/>
          <c:order val="22"/>
          <c:tx>
            <c:v>TWRightArrow</c:v>
          </c:tx>
          <c:spPr>
            <a:ln w="12700">
              <a:solidFill>
                <a:srgbClr val="FF0000"/>
              </a:solidFill>
              <a:headEnd type="none"/>
              <a:tailEnd type="triangle"/>
            </a:ln>
          </c:spPr>
          <c:marker>
            <c:symbol val="none"/>
          </c:marker>
          <c:xVal>
            <c:numRef>
              <c:f>'Calcs-1'!$H$124:$H$125</c:f>
              <c:numCache>
                <c:formatCode>0.00</c:formatCode>
                <c:ptCount val="2"/>
                <c:pt idx="0">
                  <c:v>0</c:v>
                </c:pt>
                <c:pt idx="1">
                  <c:v>0</c:v>
                </c:pt>
              </c:numCache>
            </c:numRef>
          </c:xVal>
          <c:yVal>
            <c:numRef>
              <c:f>'Calcs-1'!$I$124:$I$125</c:f>
              <c:numCache>
                <c:formatCode>0.00</c:formatCode>
                <c:ptCount val="2"/>
                <c:pt idx="0">
                  <c:v>0</c:v>
                </c:pt>
                <c:pt idx="1">
                  <c:v>0</c:v>
                </c:pt>
              </c:numCache>
            </c:numRef>
          </c:yVal>
          <c:smooth val="1"/>
        </c:ser>
        <c:ser>
          <c:idx val="24"/>
          <c:order val="23"/>
          <c:tx>
            <c:v>TWLeftArrow</c:v>
          </c:tx>
          <c:spPr>
            <a:ln w="12700">
              <a:solidFill>
                <a:srgbClr val="FF0000"/>
              </a:solidFill>
              <a:headEnd type="triangle"/>
            </a:ln>
          </c:spPr>
          <c:marker>
            <c:symbol val="none"/>
          </c:marker>
          <c:xVal>
            <c:numRef>
              <c:f>'Calcs-1'!$H$126:$H$127</c:f>
              <c:numCache>
                <c:formatCode>0.00</c:formatCode>
                <c:ptCount val="2"/>
                <c:pt idx="0">
                  <c:v>0</c:v>
                </c:pt>
                <c:pt idx="1">
                  <c:v>0</c:v>
                </c:pt>
              </c:numCache>
            </c:numRef>
          </c:xVal>
          <c:yVal>
            <c:numRef>
              <c:f>'Calcs-1'!$I$126:$I$127</c:f>
              <c:numCache>
                <c:formatCode>0.00</c:formatCode>
                <c:ptCount val="2"/>
                <c:pt idx="0">
                  <c:v>0</c:v>
                </c:pt>
                <c:pt idx="1">
                  <c:v>0</c:v>
                </c:pt>
              </c:numCache>
            </c:numRef>
          </c:yVal>
          <c:smooth val="1"/>
        </c:ser>
        <c:ser>
          <c:idx val="25"/>
          <c:order val="24"/>
          <c:tx>
            <c:strRef>
              <c:f>'Calcs-1'!$C$22</c:f>
              <c:strCache>
                <c:ptCount val="1"/>
              </c:strCache>
            </c:strRef>
          </c:tx>
          <c:spPr>
            <a:ln w="28575">
              <a:noFill/>
            </a:ln>
          </c:spPr>
          <c:marker>
            <c:symbol val="none"/>
          </c:marker>
          <c:dLbls>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'Calcs-1'!$E$22</c:f>
              <c:numCache>
                <c:formatCode>0.00</c:formatCode>
                <c:ptCount val="1"/>
                <c:pt idx="0">
                  <c:v>0</c:v>
                </c:pt>
              </c:numCache>
            </c:numRef>
          </c:xVal>
          <c:yVal>
            <c:numRef>
              <c:f>'Calcs-1'!$F$22</c:f>
              <c:numCache>
                <c:formatCode>0.00</c:formatCode>
                <c:ptCount val="1"/>
                <c:pt idx="0">
                  <c:v>0</c:v>
                </c:pt>
              </c:numCache>
            </c:numRef>
          </c:yVal>
          <c:smooth val="1"/>
        </c:ser>
        <c:ser>
          <c:idx val="26"/>
          <c:order val="25"/>
          <c:tx>
            <c:strRef>
              <c:f>'Calcs-1'!$C$23</c:f>
              <c:strCache>
                <c:ptCount val="1"/>
              </c:strCache>
            </c:strRef>
          </c:tx>
          <c:spPr>
            <a:ln w="28575">
              <a:noFill/>
            </a:ln>
          </c:spPr>
          <c:marker>
            <c:symbol val="none"/>
          </c:marker>
          <c:dLbls>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'Calcs-1'!$E$23</c:f>
              <c:numCache>
                <c:formatCode>0.00</c:formatCode>
                <c:ptCount val="1"/>
                <c:pt idx="0">
                  <c:v>0</c:v>
                </c:pt>
              </c:numCache>
            </c:numRef>
          </c:xVal>
          <c:yVal>
            <c:numRef>
              <c:f>'Calcs-1'!$F$23</c:f>
              <c:numCache>
                <c:formatCode>0.00</c:formatCode>
                <c:ptCount val="1"/>
                <c:pt idx="0">
                  <c:v>0</c:v>
                </c:pt>
              </c:numCache>
            </c:numRef>
          </c:yVal>
          <c:smooth val="1"/>
        </c:ser>
        <c:ser>
          <c:idx val="27"/>
          <c:order val="26"/>
          <c:tx>
            <c:strRef>
              <c:f>'Calcs-1'!$C$24</c:f>
              <c:strCache>
                <c:ptCount val="1"/>
              </c:strCache>
            </c:strRef>
          </c:tx>
          <c:spPr>
            <a:ln w="28575">
              <a:noFill/>
            </a:ln>
          </c:spPr>
          <c:marker>
            <c:symbol val="none"/>
          </c:marker>
          <c:dLbls>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'Calcs-1'!$E$26</c:f>
              <c:numCache>
                <c:formatCode>0.00</c:formatCode>
                <c:ptCount val="1"/>
                <c:pt idx="0">
                  <c:v>0</c:v>
                </c:pt>
              </c:numCache>
            </c:numRef>
          </c:xVal>
          <c:yVal>
            <c:numRef>
              <c:f>'Calcs-1'!$F$26</c:f>
              <c:numCache>
                <c:formatCode>0.00</c:formatCode>
                <c:ptCount val="1"/>
                <c:pt idx="0">
                  <c:v>0</c:v>
                </c:pt>
              </c:numCache>
            </c:numRef>
          </c:yVal>
          <c:smooth val="1"/>
        </c:ser>
        <c:ser>
          <c:idx val="28"/>
          <c:order val="27"/>
          <c:tx>
            <c:strRef>
              <c:f>'Calcs-1'!$C$27</c:f>
              <c:strCache>
                <c:ptCount val="1"/>
              </c:strCache>
            </c:strRef>
          </c:tx>
          <c:spPr>
            <a:ln w="28575">
              <a:noFill/>
            </a:ln>
          </c:spPr>
          <c:marker>
            <c:symbol val="none"/>
          </c:marker>
          <c:dLbls>
            <c:dLbl>
              <c:idx val="0"/>
              <c:spPr/>
              <c:txPr>
                <a:bodyPr rot="-1080000" vert="horz"/>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dLbl>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'Calcs-1'!$E$28</c:f>
              <c:numCache>
                <c:formatCode>0.00</c:formatCode>
                <c:ptCount val="1"/>
                <c:pt idx="0">
                  <c:v>0</c:v>
                </c:pt>
              </c:numCache>
            </c:numRef>
          </c:xVal>
          <c:yVal>
            <c:numRef>
              <c:f>'Calcs-1'!$F$28</c:f>
              <c:numCache>
                <c:formatCode>0.00</c:formatCode>
                <c:ptCount val="1"/>
                <c:pt idx="0">
                  <c:v>0</c:v>
                </c:pt>
              </c:numCache>
            </c:numRef>
          </c:yVal>
          <c:smooth val="1"/>
        </c:ser>
        <c:ser>
          <c:idx val="29"/>
          <c:order val="28"/>
          <c:tx>
            <c:strRef>
              <c:f>'Calcs-1'!$C$30</c:f>
              <c:strCache>
                <c:ptCount val="1"/>
              </c:strCache>
            </c:strRef>
          </c:tx>
          <c:spPr>
            <a:ln w="28575">
              <a:noFill/>
            </a:ln>
          </c:spPr>
          <c:marker>
            <c:symbol val="none"/>
          </c:marker>
          <c:dLbls>
            <c:dLbl>
              <c:idx val="0"/>
              <c:spPr/>
              <c:txPr>
                <a:bodyPr rot="-1080000" vert="horz"/>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dLbl>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'Calcs-1'!$E$31</c:f>
              <c:numCache>
                <c:formatCode>0.00</c:formatCode>
                <c:ptCount val="1"/>
                <c:pt idx="0">
                  <c:v>0</c:v>
                </c:pt>
              </c:numCache>
            </c:numRef>
          </c:xVal>
          <c:yVal>
            <c:numRef>
              <c:f>'Calcs-1'!$F$31</c:f>
              <c:numCache>
                <c:formatCode>0.00</c:formatCode>
                <c:ptCount val="1"/>
                <c:pt idx="0">
                  <c:v>0</c:v>
                </c:pt>
              </c:numCache>
            </c:numRef>
          </c:yVal>
          <c:smooth val="1"/>
        </c:ser>
        <c:ser>
          <c:idx val="30"/>
          <c:order val="29"/>
          <c:tx>
            <c:strRef>
              <c:f>'Calcs-1'!$C$33</c:f>
              <c:strCache>
                <c:ptCount val="1"/>
              </c:strCache>
            </c:strRef>
          </c:tx>
          <c:spPr>
            <a:ln w="28575">
              <a:noFill/>
            </a:ln>
          </c:spPr>
          <c:marker>
            <c:symbol val="none"/>
          </c:marker>
          <c:dLbls>
            <c:dLbl>
              <c:idx val="0"/>
              <c:spPr/>
              <c:txPr>
                <a:bodyPr rot="-960000" vert="horz"/>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dLbl>
            <c:spPr>
              <a:noFill/>
              <a:ln w="25400">
                <a:noFill/>
              </a:ln>
            </c:spPr>
            <c:txPr>
              <a:bodyPr rot="54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'Calcs-1'!$E$33</c:f>
              <c:numCache>
                <c:formatCode>0.00</c:formatCode>
                <c:ptCount val="1"/>
                <c:pt idx="0">
                  <c:v>0</c:v>
                </c:pt>
              </c:numCache>
            </c:numRef>
          </c:xVal>
          <c:yVal>
            <c:numRef>
              <c:f>'Calcs-1'!$F$33</c:f>
              <c:numCache>
                <c:formatCode>0.00</c:formatCode>
                <c:ptCount val="1"/>
                <c:pt idx="0">
                  <c:v>0</c:v>
                </c:pt>
              </c:numCache>
            </c:numRef>
          </c:yVal>
          <c:smooth val="1"/>
        </c:ser>
        <c:ser>
          <c:idx val="16"/>
          <c:order val="30"/>
          <c:tx>
            <c:v>Foot Line</c:v>
          </c:tx>
          <c:spPr>
            <a:ln w="12700">
              <a:solidFill>
                <a:srgbClr val="FF0000"/>
              </a:solidFill>
              <a:prstDash val="sysDash"/>
            </a:ln>
          </c:spPr>
          <c:marker>
            <c:symbol val="none"/>
          </c:marker>
          <c:xVal>
            <c:numRef>
              <c:f>'Calcs-1'!$H$136:$H$137</c:f>
              <c:numCache>
                <c:formatCode>0.00</c:formatCode>
                <c:ptCount val="2"/>
                <c:pt idx="0">
                  <c:v>0</c:v>
                </c:pt>
                <c:pt idx="1">
                  <c:v>0</c:v>
                </c:pt>
              </c:numCache>
            </c:numRef>
          </c:xVal>
          <c:yVal>
            <c:numRef>
              <c:f>'Calcs-1'!$I$136:$I$137</c:f>
              <c:numCache>
                <c:formatCode>0.00</c:formatCode>
                <c:ptCount val="2"/>
                <c:pt idx="0">
                  <c:v>0</c:v>
                </c:pt>
                <c:pt idx="1">
                  <c:v>0</c:v>
                </c:pt>
              </c:numCache>
            </c:numRef>
          </c:yVal>
          <c:smooth val="1"/>
        </c:ser>
        <c:ser>
          <c:idx val="31"/>
          <c:order val="31"/>
          <c:tx>
            <c:v>FO Top Arrow</c:v>
          </c:tx>
          <c:spPr>
            <a:ln w="12700">
              <a:solidFill>
                <a:srgbClr val="FF0000"/>
              </a:solidFill>
              <a:headEnd type="triangle"/>
            </a:ln>
          </c:spPr>
          <c:marker>
            <c:symbol val="none"/>
          </c:marker>
          <c:xVal>
            <c:numRef>
              <c:f>'Calcs-1'!$H$139:$H$140</c:f>
              <c:numCache>
                <c:formatCode>0.00</c:formatCode>
                <c:ptCount val="2"/>
                <c:pt idx="0">
                  <c:v>0</c:v>
                </c:pt>
                <c:pt idx="1">
                  <c:v>0</c:v>
                </c:pt>
              </c:numCache>
            </c:numRef>
          </c:xVal>
          <c:yVal>
            <c:numRef>
              <c:f>'Calcs-1'!$I$139:$I$140</c:f>
              <c:numCache>
                <c:formatCode>0.00</c:formatCode>
                <c:ptCount val="2"/>
                <c:pt idx="0">
                  <c:v>0</c:v>
                </c:pt>
                <c:pt idx="1">
                  <c:v>0</c:v>
                </c:pt>
              </c:numCache>
            </c:numRef>
          </c:yVal>
          <c:smooth val="1"/>
        </c:ser>
        <c:ser>
          <c:idx val="32"/>
          <c:order val="32"/>
          <c:tx>
            <c:v>FO Bot Arrow</c:v>
          </c:tx>
          <c:spPr>
            <a:ln w="12700">
              <a:solidFill>
                <a:srgbClr val="FF0000"/>
              </a:solidFill>
              <a:headEnd type="triangle"/>
            </a:ln>
          </c:spPr>
          <c:marker>
            <c:symbol val="none"/>
          </c:marker>
          <c:xVal>
            <c:numRef>
              <c:f>'Calcs-1'!$H$141:$H$142</c:f>
              <c:numCache>
                <c:formatCode>0.00</c:formatCode>
                <c:ptCount val="2"/>
                <c:pt idx="0">
                  <c:v>0</c:v>
                </c:pt>
                <c:pt idx="1">
                  <c:v>0</c:v>
                </c:pt>
              </c:numCache>
            </c:numRef>
          </c:xVal>
          <c:yVal>
            <c:numRef>
              <c:f>'Calcs-1'!$I$141:$I$142</c:f>
              <c:numCache>
                <c:formatCode>0.00</c:formatCode>
                <c:ptCount val="2"/>
                <c:pt idx="0">
                  <c:v>0</c:v>
                </c:pt>
                <c:pt idx="1">
                  <c:v>0</c:v>
                </c:pt>
              </c:numCache>
            </c:numRef>
          </c:yVal>
          <c:smooth val="1"/>
        </c:ser>
        <c:ser>
          <c:idx val="33"/>
          <c:order val="33"/>
          <c:tx>
            <c:strRef>
              <c:f>'Calcs-1'!$C$35</c:f>
              <c:strCache>
                <c:ptCount val="1"/>
              </c:strCache>
            </c:strRef>
          </c:tx>
          <c:spPr>
            <a:ln w="28575">
              <a:noFill/>
            </a:ln>
          </c:spPr>
          <c:marker>
            <c:symbol val="none"/>
          </c:marke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'Calcs-1'!$E$35</c:f>
              <c:numCache>
                <c:formatCode>0.00</c:formatCode>
                <c:ptCount val="1"/>
                <c:pt idx="0">
                  <c:v>0</c:v>
                </c:pt>
              </c:numCache>
            </c:numRef>
          </c:xVal>
          <c:yVal>
            <c:numRef>
              <c:f>'Calcs-1'!$F$35</c:f>
              <c:numCache>
                <c:formatCode>0.00</c:formatCode>
                <c:ptCount val="1"/>
                <c:pt idx="0">
                  <c:v>0</c:v>
                </c:pt>
              </c:numCache>
            </c:numRef>
          </c:yVal>
          <c:smooth val="1"/>
        </c:ser>
        <c:ser>
          <c:idx val="34"/>
          <c:order val="34"/>
          <c:tx>
            <c:strRef>
              <c:f>'Calcs-1'!$C$34</c:f>
              <c:strCache>
                <c:ptCount val="1"/>
              </c:strCache>
            </c:strRef>
          </c:tx>
          <c:spPr>
            <a:ln w="28575">
              <a:noFill/>
            </a:ln>
          </c:spPr>
          <c:marker>
            <c:symbol val="none"/>
          </c:marker>
          <c:dLbls>
            <c:spPr>
              <a:noFill/>
              <a:ln w="25400">
                <a:noFill/>
              </a:ln>
            </c:spPr>
            <c:txPr>
              <a:bodyPr rot="-96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'Calcs-1'!$E$34</c:f>
              <c:numCache>
                <c:formatCode>0.00</c:formatCode>
                <c:ptCount val="1"/>
              </c:numCache>
            </c:numRef>
          </c:xVal>
          <c:yVal>
            <c:numRef>
              <c:f>'Calcs-1'!$F$34</c:f>
              <c:numCache>
                <c:formatCode>0.00</c:formatCode>
                <c:ptCount val="1"/>
              </c:numCache>
            </c:numRef>
          </c:yVal>
          <c:smooth val="1"/>
        </c:ser>
        <c:ser>
          <c:idx val="35"/>
          <c:order val="35"/>
          <c:tx>
            <c:v>1/2mid</c:v>
          </c:tx>
          <c:spPr>
            <a:ln w="28575">
              <a:noFill/>
            </a:ln>
          </c:spPr>
          <c:marker>
            <c:symbol val="none"/>
          </c:marker>
          <c:xVal>
            <c:numRef>
              <c:f>'Calcs-1'!$E$27</c:f>
              <c:numCache>
                <c:formatCode>0.00</c:formatCode>
                <c:ptCount val="1"/>
                <c:pt idx="0">
                  <c:v>0</c:v>
                </c:pt>
              </c:numCache>
            </c:numRef>
          </c:xVal>
          <c:yVal>
            <c:numRef>
              <c:f>'Calcs-1'!$F$27</c:f>
              <c:numCache>
                <c:formatCode>0.00</c:formatCode>
                <c:ptCount val="1"/>
                <c:pt idx="0">
                  <c:v>0</c:v>
                </c:pt>
              </c:numCache>
            </c:numRef>
          </c:yVal>
          <c:smooth val="1"/>
        </c:ser>
        <c:ser>
          <c:idx val="36"/>
          <c:order val="36"/>
          <c:tx>
            <c:strRef>
              <c:f>'Calcs-1'!$C$29</c:f>
              <c:strCache>
                <c:ptCount val="1"/>
              </c:strCache>
            </c:strRef>
          </c:tx>
          <c:spPr>
            <a:ln w="28575">
              <a:noFill/>
            </a:ln>
          </c:spPr>
          <c:marker>
            <c:symbol val="none"/>
          </c:marker>
          <c:dLbls>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'Calcs-1'!$E$29</c:f>
              <c:numCache>
                <c:formatCode>0.00</c:formatCode>
                <c:ptCount val="1"/>
                <c:pt idx="0">
                  <c:v>0</c:v>
                </c:pt>
              </c:numCache>
            </c:numRef>
          </c:xVal>
          <c:yVal>
            <c:numRef>
              <c:f>'Calcs-1'!$F$29</c:f>
              <c:numCache>
                <c:formatCode>0.00</c:formatCode>
                <c:ptCount val="1"/>
                <c:pt idx="0">
                  <c:v>0</c:v>
                </c:pt>
              </c:numCache>
            </c:numRef>
          </c:yVal>
          <c:smooth val="1"/>
        </c:ser>
        <c:ser>
          <c:idx val="37"/>
          <c:order val="37"/>
          <c:tx>
            <c:strRef>
              <c:f>'Calcs-1'!$C$25</c:f>
              <c:strCache>
                <c:ptCount val="1"/>
              </c:strCache>
            </c:strRef>
          </c:tx>
          <c:spPr>
            <a:ln w="28575">
              <a:noFill/>
            </a:ln>
          </c:spPr>
          <c:marker>
            <c:symbol val="none"/>
          </c:marker>
          <c:dLbls>
            <c:spPr>
              <a:noFill/>
              <a:ln w="25400">
                <a:noFill/>
              </a:ln>
            </c:spPr>
            <c:txPr>
              <a:bodyPr rot="-1080000" vert="horz" wrap="square" lIns="38100" tIns="19050" rIns="38100" bIns="19050" anchor="ctr">
                <a:spAutoFit/>
              </a:bodyPr>
              <a:lstStyle/>
              <a:p>
                <a:pPr algn="ctr">
                  <a:defRPr sz="1000" b="1" i="0" u="none" strike="noStrike" baseline="0">
                    <a:solidFill>
                      <a:srgbClr val="000000"/>
                    </a:solidFill>
                    <a:latin typeface="Calibri"/>
                    <a:ea typeface="Calibri"/>
                    <a:cs typeface="Calibri"/>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'Calcs-1'!$E$25</c:f>
              <c:numCache>
                <c:formatCode>0.00</c:formatCode>
                <c:ptCount val="1"/>
                <c:pt idx="0">
                  <c:v>0</c:v>
                </c:pt>
              </c:numCache>
            </c:numRef>
          </c:xVal>
          <c:yVal>
            <c:numRef>
              <c:f>'Calcs-1'!$F$25</c:f>
              <c:numCache>
                <c:formatCode>0.00</c:formatCode>
                <c:ptCount val="1"/>
                <c:pt idx="0">
                  <c:v>0</c:v>
                </c:pt>
              </c:numCache>
            </c:numRef>
          </c:yVal>
          <c:smooth val="1"/>
        </c:ser>
        <c:ser>
          <c:idx val="38"/>
          <c:order val="38"/>
          <c:tx>
            <c:v>LeechLengthDim</c:v>
          </c:tx>
          <c:spPr>
            <a:ln w="12700">
              <a:solidFill>
                <a:srgbClr val="FF0000"/>
              </a:solidFill>
              <a:prstDash val="dash"/>
              <a:headEnd type="triangle"/>
              <a:tailEnd type="triangle"/>
            </a:ln>
          </c:spPr>
          <c:marker>
            <c:symbol val="none"/>
          </c:marker>
          <c:xVal>
            <c:numRef>
              <c:f>'Calcs-1'!$J$26:$J$27</c:f>
              <c:numCache>
                <c:formatCode>0.00</c:formatCode>
                <c:ptCount val="2"/>
                <c:pt idx="0">
                  <c:v>0</c:v>
                </c:pt>
                <c:pt idx="1">
                  <c:v>0</c:v>
                </c:pt>
              </c:numCache>
            </c:numRef>
          </c:xVal>
          <c:yVal>
            <c:numRef>
              <c:f>'Calcs-1'!$K$26:$K$27</c:f>
              <c:numCache>
                <c:formatCode>0.00</c:formatCode>
                <c:ptCount val="2"/>
                <c:pt idx="0">
                  <c:v>0</c:v>
                </c:pt>
                <c:pt idx="1">
                  <c:v>0</c:v>
                </c:pt>
              </c:numCache>
            </c:numRef>
          </c:yVal>
          <c:smooth val="1"/>
        </c:ser>
        <c:ser>
          <c:idx val="39"/>
          <c:order val="39"/>
          <c:tx>
            <c:v>LeechTickTop</c:v>
          </c:tx>
          <c:spPr>
            <a:ln w="12700">
              <a:solidFill>
                <a:schemeClr val="tx1"/>
              </a:solidFill>
            </a:ln>
          </c:spPr>
          <c:marker>
            <c:symbol val="none"/>
          </c:marker>
          <c:xVal>
            <c:numRef>
              <c:f>'Calcs-1'!$H$144:$H$145</c:f>
              <c:numCache>
                <c:formatCode>0.00</c:formatCode>
                <c:ptCount val="2"/>
                <c:pt idx="0">
                  <c:v>0</c:v>
                </c:pt>
                <c:pt idx="1">
                  <c:v>0</c:v>
                </c:pt>
              </c:numCache>
            </c:numRef>
          </c:xVal>
          <c:yVal>
            <c:numRef>
              <c:f>'Calcs-1'!$I$144:$I$145</c:f>
              <c:numCache>
                <c:formatCode>0.00</c:formatCode>
                <c:ptCount val="2"/>
                <c:pt idx="0">
                  <c:v>0</c:v>
                </c:pt>
                <c:pt idx="1">
                  <c:v>0</c:v>
                </c:pt>
              </c:numCache>
            </c:numRef>
          </c:yVal>
          <c:smooth val="1"/>
        </c:ser>
        <c:ser>
          <c:idx val="40"/>
          <c:order val="40"/>
          <c:tx>
            <c:v>LeechTickBot</c:v>
          </c:tx>
          <c:spPr>
            <a:ln w="12700">
              <a:solidFill>
                <a:schemeClr val="tx1"/>
              </a:solidFill>
            </a:ln>
          </c:spPr>
          <c:marker>
            <c:symbol val="none"/>
          </c:marker>
          <c:xVal>
            <c:numRef>
              <c:f>'Calcs-1'!$H$146:$H$147</c:f>
              <c:numCache>
                <c:formatCode>0.00</c:formatCode>
                <c:ptCount val="2"/>
                <c:pt idx="0">
                  <c:v>0</c:v>
                </c:pt>
                <c:pt idx="1">
                  <c:v>0</c:v>
                </c:pt>
              </c:numCache>
            </c:numRef>
          </c:xVal>
          <c:yVal>
            <c:numRef>
              <c:f>'Calcs-1'!$I$146:$I$147</c:f>
              <c:numCache>
                <c:formatCode>0.00</c:formatCode>
                <c:ptCount val="2"/>
                <c:pt idx="0">
                  <c:v>0</c:v>
                </c:pt>
                <c:pt idx="1">
                  <c:v>0</c:v>
                </c:pt>
              </c:numCache>
            </c:numRef>
          </c:yVal>
          <c:smooth val="1"/>
        </c:ser>
        <c:ser>
          <c:idx val="41"/>
          <c:order val="41"/>
          <c:tx>
            <c:strRef>
              <c:f>'Calcs-1'!$C$37</c:f>
              <c:strCache>
                <c:ptCount val="1"/>
              </c:strCache>
            </c:strRef>
          </c:tx>
          <c:spPr>
            <a:ln w="28575">
              <a:noFill/>
            </a:ln>
          </c:spPr>
          <c:marker>
            <c:symbol val="none"/>
          </c:marke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'Calcs-1'!$E$37</c:f>
              <c:numCache>
                <c:formatCode>General</c:formatCode>
                <c:ptCount val="1"/>
                <c:pt idx="0">
                  <c:v>0</c:v>
                </c:pt>
              </c:numCache>
            </c:numRef>
          </c:xVal>
          <c:yVal>
            <c:numRef>
              <c:f>'Calcs-1'!$F$37</c:f>
              <c:numCache>
                <c:formatCode>General</c:formatCode>
                <c:ptCount val="1"/>
                <c:pt idx="0">
                  <c:v>0</c:v>
                </c:pt>
              </c:numCache>
            </c:numRef>
          </c:yVal>
          <c:smooth val="1"/>
        </c:ser>
        <c:dLbls>
          <c:showLegendKey val="0"/>
          <c:showVal val="0"/>
          <c:showCatName val="0"/>
          <c:showSerName val="0"/>
          <c:showPercent val="0"/>
          <c:showBubbleSize val="0"/>
        </c:dLbls>
        <c:axId val="116811752"/>
        <c:axId val="116809792"/>
      </c:scatterChart>
      <c:valAx>
        <c:axId val="116811752"/>
        <c:scaling>
          <c:orientation val="maxMin"/>
        </c:scaling>
        <c:delete val="1"/>
        <c:axPos val="b"/>
        <c:numFmt formatCode="0.00" sourceLinked="1"/>
        <c:majorTickMark val="out"/>
        <c:minorTickMark val="none"/>
        <c:tickLblPos val="nextTo"/>
        <c:crossAx val="116809792"/>
        <c:crosses val="autoZero"/>
        <c:crossBetween val="midCat"/>
        <c:majorUnit val="0.5"/>
      </c:valAx>
      <c:valAx>
        <c:axId val="116809792"/>
        <c:scaling>
          <c:orientation val="minMax"/>
        </c:scaling>
        <c:delete val="1"/>
        <c:axPos val="r"/>
        <c:numFmt formatCode="0.00" sourceLinked="1"/>
        <c:majorTickMark val="out"/>
        <c:minorTickMark val="none"/>
        <c:tickLblPos val="nextTo"/>
        <c:crossAx val="116811752"/>
        <c:crosses val="autoZero"/>
        <c:crossBetween val="midCat"/>
        <c:majorUnit val="0.5"/>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Radio" checked="Checked" firstButton="1" fmlaLink="$S$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10</xdr:row>
          <xdr:rowOff>85725</xdr:rowOff>
        </xdr:from>
        <xdr:to>
          <xdr:col>5</xdr:col>
          <xdr:colOff>266700</xdr:colOff>
          <xdr:row>11</xdr:row>
          <xdr:rowOff>114300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xdr:row>
          <xdr:rowOff>85725</xdr:rowOff>
        </xdr:from>
        <xdr:to>
          <xdr:col>7</xdr:col>
          <xdr:colOff>66675</xdr:colOff>
          <xdr:row>11</xdr:row>
          <xdr:rowOff>114300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76200</xdr:colOff>
      <xdr:row>16</xdr:row>
      <xdr:rowOff>38100</xdr:rowOff>
    </xdr:from>
    <xdr:to>
      <xdr:col>12</xdr:col>
      <xdr:colOff>0</xdr:colOff>
      <xdr:row>60</xdr:row>
      <xdr:rowOff>85725</xdr:rowOff>
    </xdr:to>
    <xdr:graphicFrame macro="">
      <xdr:nvGraphicFramePr>
        <xdr:cNvPr id="1463836" name="Chart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228599</xdr:colOff>
      <xdr:row>0</xdr:row>
      <xdr:rowOff>57151</xdr:rowOff>
    </xdr:from>
    <xdr:to>
      <xdr:col>12</xdr:col>
      <xdr:colOff>9524</xdr:colOff>
      <xdr:row>2</xdr:row>
      <xdr:rowOff>139158</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4" y="57151"/>
          <a:ext cx="1304925" cy="558257"/>
        </a:xfrm>
        <a:prstGeom prst="rect">
          <a:avLst/>
        </a:prstGeom>
      </xdr:spPr>
    </xdr:pic>
    <xdr:clientData/>
  </xdr:twoCellAnchor>
  <xdr:twoCellAnchor editAs="oneCell">
    <xdr:from>
      <xdr:col>2</xdr:col>
      <xdr:colOff>95250</xdr:colOff>
      <xdr:row>0</xdr:row>
      <xdr:rowOff>57150</xdr:rowOff>
    </xdr:from>
    <xdr:to>
      <xdr:col>4</xdr:col>
      <xdr:colOff>517212</xdr:colOff>
      <xdr:row>2</xdr:row>
      <xdr:rowOff>171449</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0100" y="57150"/>
          <a:ext cx="1498287" cy="590549"/>
        </a:xfrm>
        <a:prstGeom prst="rect">
          <a:avLst/>
        </a:prstGeom>
      </xdr:spPr>
    </xdr:pic>
    <xdr:clientData/>
  </xdr:twoCellAnchor>
  <xdr:twoCellAnchor>
    <xdr:from>
      <xdr:col>3</xdr:col>
      <xdr:colOff>590550</xdr:colOff>
      <xdr:row>17</xdr:row>
      <xdr:rowOff>19050</xdr:rowOff>
    </xdr:from>
    <xdr:to>
      <xdr:col>12</xdr:col>
      <xdr:colOff>9525</xdr:colOff>
      <xdr:row>38</xdr:row>
      <xdr:rowOff>57150</xdr:rowOff>
    </xdr:to>
    <xdr:sp macro="" textlink="" fLocksText="0">
      <xdr:nvSpPr>
        <xdr:cNvPr id="7" name="TextBox 6"/>
        <xdr:cNvSpPr txBox="1"/>
      </xdr:nvSpPr>
      <xdr:spPr>
        <a:xfrm>
          <a:off x="1771650" y="3400425"/>
          <a:ext cx="5524500" cy="3733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14</xdr:col>
      <xdr:colOff>152400</xdr:colOff>
      <xdr:row>0</xdr:row>
      <xdr:rowOff>142875</xdr:rowOff>
    </xdr:from>
    <xdr:to>
      <xdr:col>24</xdr:col>
      <xdr:colOff>457200</xdr:colOff>
      <xdr:row>51</xdr:row>
      <xdr:rowOff>76200</xdr:rowOff>
    </xdr:to>
    <xdr:sp macro="" textlink="">
      <xdr:nvSpPr>
        <xdr:cNvPr id="8" name="TextBox 7"/>
        <xdr:cNvSpPr txBox="1"/>
      </xdr:nvSpPr>
      <xdr:spPr>
        <a:xfrm>
          <a:off x="7648575" y="142875"/>
          <a:ext cx="4486275" cy="899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How to Measure a Headsail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Remove any battens and lay the sail flat.  All measurements are taken in a straight line. The sail should only be stretched enough to remove any wrinkles that cross the measurement line.  Wrinkles parallel to the measurement line are okay.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When measuring to a rounded or notched corner of a sail, the measurement point is the intersection of the projected sail edges.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LONGEST PERPENDICULAR - HLP</a:t>
          </a:r>
        </a:p>
        <a:p>
          <a:r>
            <a:rPr lang="en-US" sz="1100">
              <a:solidFill>
                <a:schemeClr val="dk1"/>
              </a:solidFill>
              <a:effectLst/>
              <a:latin typeface="+mn-lt"/>
              <a:ea typeface="+mn-ea"/>
              <a:cs typeface="+mn-cs"/>
            </a:rPr>
            <a:t>The HLP measurement is taken from the Clew Point as the shortest perpendicular distance to the luff.  The ratio of HLP to the boat’s J measurement is the LP% or ‘overlap’.</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LUFF &amp; LEECH – HLU, HLE</a:t>
          </a:r>
        </a:p>
        <a:p>
          <a:r>
            <a:rPr lang="en-US" sz="1100">
              <a:solidFill>
                <a:schemeClr val="dk1"/>
              </a:solidFill>
              <a:effectLst/>
              <a:latin typeface="+mn-lt"/>
              <a:ea typeface="+mn-ea"/>
              <a:cs typeface="+mn-cs"/>
            </a:rPr>
            <a:t>Luff and Leech lengths are measured from the Head Point to the Tack and Clew Points, respectively.  The foot length and foot offset (round) are not required.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HEAD POINT</a:t>
          </a:r>
        </a:p>
        <a:p>
          <a:r>
            <a:rPr lang="en-US" sz="1100">
              <a:solidFill>
                <a:schemeClr val="dk1"/>
              </a:solidFill>
              <a:effectLst/>
              <a:latin typeface="+mn-lt"/>
              <a:ea typeface="+mn-ea"/>
              <a:cs typeface="+mn-cs"/>
            </a:rPr>
            <a:t>The Head Point is the intersection of a line from the highest point on the sail, drawn perpendicular to the luff.  The luff is the forward extent of the sail, including the bolt rope.  </a:t>
          </a:r>
          <a:r>
            <a:rPr lang="en-US" sz="1100" u="sng">
              <a:solidFill>
                <a:schemeClr val="dk1"/>
              </a:solidFill>
              <a:effectLst/>
              <a:latin typeface="+mn-lt"/>
              <a:ea typeface="+mn-ea"/>
              <a:cs typeface="+mn-cs"/>
            </a:rPr>
            <a:t>The Head Point is always in line with the luff.</a:t>
          </a:r>
          <a:r>
            <a:rPr lang="en-US" sz="1100">
              <a:solidFill>
                <a:schemeClr val="dk1"/>
              </a:solidFill>
              <a:effectLst/>
              <a:latin typeface="+mn-lt"/>
              <a:ea typeface="+mn-ea"/>
              <a:cs typeface="+mn-cs"/>
            </a:rPr>
            <a:t>  This is important when folding the sail.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HEAD WIDTH - HHB</a:t>
          </a:r>
        </a:p>
        <a:p>
          <a:r>
            <a:rPr lang="en-US" sz="1100">
              <a:solidFill>
                <a:schemeClr val="dk1"/>
              </a:solidFill>
              <a:effectLst/>
              <a:latin typeface="+mn-lt"/>
              <a:ea typeface="+mn-ea"/>
              <a:cs typeface="+mn-cs"/>
            </a:rPr>
            <a:t>If the sail has a headboard or square top, measure the distance from the Head Point to the aftmost point on the top edge.</a:t>
          </a:r>
        </a:p>
        <a:p>
          <a:r>
            <a:rPr lang="en-US" sz="1100">
              <a:solidFill>
                <a:schemeClr val="dk1"/>
              </a:solidFill>
              <a:effectLst/>
              <a:latin typeface="+mn-lt"/>
              <a:ea typeface="+mn-ea"/>
              <a:cs typeface="+mn-cs"/>
            </a:rPr>
            <a:t>If the sail has a grommet or eye at the head, measure from the Head Point, perpendicular to the luff, to the intersection of the leech projection.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SAIL WIDTHS – HUW, HTW, HHW, HQW </a:t>
          </a:r>
        </a:p>
        <a:p>
          <a:r>
            <a:rPr lang="en-US" sz="1100">
              <a:solidFill>
                <a:schemeClr val="dk1"/>
              </a:solidFill>
              <a:effectLst/>
              <a:latin typeface="+mn-lt"/>
              <a:ea typeface="+mn-ea"/>
              <a:cs typeface="+mn-cs"/>
            </a:rPr>
            <a:t>The width measurements are taken from each leech point as the shortest perpendicular distance to the luff.  Swing the tape measure in an arc over the luff to find the shortest distance.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Find the leech points by folding the sail as follows:</a:t>
          </a:r>
        </a:p>
        <a:p>
          <a:r>
            <a:rPr lang="en-US" sz="1100">
              <a:solidFill>
                <a:schemeClr val="dk1"/>
              </a:solidFill>
              <a:effectLst/>
              <a:latin typeface="+mn-lt"/>
              <a:ea typeface="+mn-ea"/>
              <a:cs typeface="+mn-cs"/>
            </a:rPr>
            <a:t>1) Fold the Head Point down to the Clew Point.  Mark the leech fold as the Half (1/2) leech point.  </a:t>
          </a:r>
          <a:r>
            <a:rPr lang="en-US" sz="1100" u="sng">
              <a:solidFill>
                <a:schemeClr val="dk1"/>
              </a:solidFill>
              <a:effectLst/>
              <a:latin typeface="+mn-lt"/>
              <a:ea typeface="+mn-ea"/>
              <a:cs typeface="+mn-cs"/>
            </a:rPr>
            <a:t>Carefully keep this fold in place for the next step.</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2) Fold the Head Point back up to the 1/2 leech point. Mark the leech fold as the Three-Quarter (3/4) leech point and mark where the fold of the sail crosses the lower leech as the Quarter (1/4) leech point.</a:t>
          </a:r>
        </a:p>
        <a:p>
          <a:r>
            <a:rPr lang="en-US" sz="1100">
              <a:solidFill>
                <a:schemeClr val="dk1"/>
              </a:solidFill>
              <a:effectLst/>
              <a:latin typeface="+mn-lt"/>
              <a:ea typeface="+mn-ea"/>
              <a:cs typeface="+mn-cs"/>
            </a:rPr>
            <a:t>3) Finally, fold the Head Point down to 3/4 leech point and mark the leech fold as the Upper (7/8) leech point.</a:t>
          </a:r>
        </a:p>
        <a:p>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113"/>
  <sheetViews>
    <sheetView showGridLines="0" tabSelected="1" zoomScaleNormal="100" workbookViewId="0">
      <selection activeCell="K5" sqref="K5"/>
    </sheetView>
  </sheetViews>
  <sheetFormatPr defaultRowHeight="12.75"/>
  <cols>
    <col min="1" max="1" width="9.140625" style="107"/>
    <col min="2" max="2" width="1.42578125" style="107" customWidth="1"/>
    <col min="3" max="3" width="7.140625" style="107" customWidth="1"/>
    <col min="4" max="4" width="9" style="107" customWidth="1"/>
    <col min="5" max="7" width="8.5703125" style="107" customWidth="1"/>
    <col min="8" max="8" width="3" style="107" customWidth="1"/>
    <col min="9" max="9" width="24.7109375" style="107" customWidth="1"/>
    <col min="10" max="10" width="6.28515625" style="107" customWidth="1"/>
    <col min="11" max="11" width="11.42578125" style="107" customWidth="1"/>
    <col min="12" max="12" width="11.42578125" style="115" customWidth="1"/>
    <col min="13" max="13" width="1.7109375" style="115" customWidth="1"/>
    <col min="14" max="14" width="1.42578125" style="107" customWidth="1"/>
    <col min="15" max="16" width="4.5703125" style="224" customWidth="1"/>
    <col min="17" max="17" width="1.42578125" style="107" customWidth="1"/>
    <col min="18" max="18" width="11.28515625" style="107" hidden="1" customWidth="1"/>
    <col min="19" max="19" width="9.28515625" style="108" hidden="1" customWidth="1"/>
    <col min="20" max="20" width="3.5703125" style="108" customWidth="1"/>
    <col min="21" max="21" width="11.85546875" style="108" customWidth="1"/>
    <col min="22" max="22" width="13" style="108" customWidth="1"/>
    <col min="23" max="24" width="11.85546875" style="108" customWidth="1"/>
    <col min="25" max="25" width="16.7109375" style="108" customWidth="1"/>
    <col min="26" max="30" width="11.85546875" style="108" customWidth="1"/>
    <col min="31" max="36" width="11.85546875" style="107" customWidth="1"/>
    <col min="37" max="16384" width="9.140625" style="107"/>
  </cols>
  <sheetData>
    <row r="1" spans="1:39" ht="18.75" customHeight="1">
      <c r="B1" s="161"/>
      <c r="C1" s="278"/>
      <c r="D1" s="278"/>
      <c r="E1" s="278"/>
      <c r="F1" s="278"/>
      <c r="G1" s="278"/>
      <c r="H1" s="278"/>
      <c r="I1" s="278"/>
      <c r="J1" s="278"/>
      <c r="K1" s="278"/>
      <c r="L1" s="278"/>
      <c r="M1" s="278"/>
      <c r="N1" s="162"/>
      <c r="O1" s="223"/>
      <c r="R1" s="2"/>
      <c r="S1" s="143">
        <v>1</v>
      </c>
      <c r="W1" s="2"/>
    </row>
    <row r="2" spans="1:39" ht="18.75" customHeight="1">
      <c r="B2" s="163"/>
      <c r="C2" s="279" t="s">
        <v>205</v>
      </c>
      <c r="D2" s="279"/>
      <c r="E2" s="279"/>
      <c r="F2" s="279"/>
      <c r="G2" s="279"/>
      <c r="H2" s="279"/>
      <c r="I2" s="279"/>
      <c r="J2" s="279"/>
      <c r="K2" s="279"/>
      <c r="L2" s="279"/>
      <c r="M2" s="279"/>
      <c r="N2" s="164"/>
      <c r="T2" s="119"/>
      <c r="AD2" s="120"/>
    </row>
    <row r="3" spans="1:39" ht="18.75" customHeight="1">
      <c r="B3" s="163"/>
      <c r="C3" s="282" t="s">
        <v>206</v>
      </c>
      <c r="D3" s="282"/>
      <c r="E3" s="282"/>
      <c r="F3" s="282"/>
      <c r="G3" s="282"/>
      <c r="H3" s="282"/>
      <c r="I3" s="282"/>
      <c r="J3" s="282"/>
      <c r="K3" s="282"/>
      <c r="L3" s="282"/>
      <c r="M3" s="282"/>
      <c r="N3" s="164"/>
      <c r="T3" s="119"/>
      <c r="AD3" s="120"/>
    </row>
    <row r="4" spans="1:39" ht="15" customHeight="1">
      <c r="B4" s="163"/>
      <c r="C4" s="159"/>
      <c r="D4" s="159"/>
      <c r="E4" s="159"/>
      <c r="F4" s="159"/>
      <c r="G4" s="159"/>
      <c r="H4" s="255"/>
      <c r="I4" s="159"/>
      <c r="J4" s="159"/>
      <c r="K4" s="261" t="str">
        <f>IF($S$1=1,"Meters","Feet")</f>
        <v>Meters</v>
      </c>
      <c r="L4" s="261" t="str">
        <f>IF($S$1=2,"Meters","Feet")</f>
        <v>Feet</v>
      </c>
      <c r="M4" s="142"/>
      <c r="N4" s="164"/>
      <c r="S4" s="121"/>
      <c r="U4" s="247"/>
      <c r="V4" s="252"/>
      <c r="W4" s="252"/>
      <c r="X4" s="252"/>
      <c r="Y4" s="252"/>
      <c r="Z4" s="242"/>
      <c r="AA4" s="242"/>
      <c r="AB4" s="242"/>
      <c r="AC4" s="242"/>
      <c r="AD4" s="242"/>
      <c r="AE4" s="243"/>
      <c r="AF4" s="242"/>
      <c r="AG4" s="242"/>
      <c r="AH4" s="122"/>
      <c r="AI4" s="122"/>
      <c r="AJ4" s="122"/>
      <c r="AK4" s="122"/>
      <c r="AL4" s="122"/>
      <c r="AM4" s="111"/>
    </row>
    <row r="5" spans="1:39" s="1" customFormat="1" ht="15" customHeight="1">
      <c r="A5" s="107"/>
      <c r="B5" s="165"/>
      <c r="C5" s="283" t="s">
        <v>107</v>
      </c>
      <c r="D5" s="283"/>
      <c r="E5" s="284"/>
      <c r="F5" s="285"/>
      <c r="G5" s="285"/>
      <c r="H5" s="155"/>
      <c r="I5" s="258" t="s">
        <v>0</v>
      </c>
      <c r="J5" s="262" t="s">
        <v>186</v>
      </c>
      <c r="K5" s="273"/>
      <c r="L5" s="274" t="str">
        <f>IF(K5&gt;0,IF($S$1=1,ROUND(K5/0.3048,2),ROUND(K5*0.3048,2)),"")</f>
        <v/>
      </c>
      <c r="M5" s="144"/>
      <c r="N5" s="166"/>
      <c r="O5" s="225"/>
      <c r="P5" s="225"/>
      <c r="R5" s="233">
        <f>ROUND(K5,2)</f>
        <v>0</v>
      </c>
      <c r="S5" s="233" t="e">
        <f>ROUND(L5,2)</f>
        <v>#VALUE!</v>
      </c>
      <c r="T5" s="254"/>
      <c r="U5" s="241"/>
      <c r="V5" s="109"/>
      <c r="W5" s="109"/>
      <c r="X5" s="109"/>
      <c r="Y5" s="109"/>
      <c r="Z5" s="171"/>
      <c r="AA5" s="171"/>
      <c r="AB5" s="171"/>
      <c r="AC5" s="171"/>
      <c r="AD5" s="171"/>
      <c r="AE5" s="171"/>
      <c r="AF5" s="171"/>
      <c r="AG5" s="171"/>
      <c r="AH5" s="226"/>
      <c r="AI5" s="226"/>
      <c r="AJ5" s="226"/>
      <c r="AK5" s="226"/>
      <c r="AL5" s="226"/>
      <c r="AM5" s="111"/>
    </row>
    <row r="6" spans="1:39" s="109" customFormat="1" ht="15" customHeight="1">
      <c r="A6" s="107"/>
      <c r="B6" s="167"/>
      <c r="C6" s="283" t="s">
        <v>108</v>
      </c>
      <c r="D6" s="283"/>
      <c r="E6" s="280"/>
      <c r="F6" s="281"/>
      <c r="G6" s="281"/>
      <c r="I6" s="258" t="s">
        <v>201</v>
      </c>
      <c r="J6" s="263" t="s">
        <v>187</v>
      </c>
      <c r="K6" s="273"/>
      <c r="L6" s="274" t="str">
        <f t="shared" ref="L6:L13" si="0">IF(K6&gt;0,IF($S$1=1,ROUND(K6/0.3048,2),ROUND(K6*0.3048,2)),"")</f>
        <v/>
      </c>
      <c r="M6" s="102"/>
      <c r="N6" s="166"/>
      <c r="O6" s="225"/>
      <c r="P6" s="225"/>
      <c r="R6" s="233">
        <f>ROUND(K6,2)</f>
        <v>0</v>
      </c>
      <c r="S6" s="233" t="e">
        <f t="shared" ref="S6:S13" si="1">ROUND(L6,2)</f>
        <v>#VALUE!</v>
      </c>
      <c r="T6" s="254"/>
      <c r="U6" s="304"/>
      <c r="V6" s="305"/>
      <c r="W6" s="305"/>
      <c r="X6" s="305"/>
      <c r="Y6" s="305"/>
      <c r="Z6" s="250"/>
      <c r="AA6" s="250"/>
      <c r="AB6" s="250"/>
      <c r="AC6" s="244"/>
      <c r="AD6" s="244"/>
      <c r="AE6" s="244"/>
      <c r="AF6" s="244"/>
      <c r="AG6" s="244"/>
      <c r="AH6" s="227"/>
      <c r="AI6" s="227"/>
      <c r="AJ6" s="227"/>
      <c r="AK6" s="227"/>
      <c r="AL6" s="227"/>
      <c r="AM6" s="228"/>
    </row>
    <row r="7" spans="1:39" s="1" customFormat="1" ht="15" customHeight="1">
      <c r="B7" s="165"/>
      <c r="C7" s="283" t="s">
        <v>109</v>
      </c>
      <c r="D7" s="283"/>
      <c r="E7" s="280"/>
      <c r="F7" s="281"/>
      <c r="G7" s="281"/>
      <c r="H7" s="103"/>
      <c r="I7" s="258" t="s">
        <v>200</v>
      </c>
      <c r="J7" s="262" t="s">
        <v>188</v>
      </c>
      <c r="K7" s="273"/>
      <c r="L7" s="274" t="str">
        <f t="shared" si="0"/>
        <v/>
      </c>
      <c r="M7" s="185"/>
      <c r="N7" s="186"/>
      <c r="O7" s="229"/>
      <c r="P7" s="229"/>
      <c r="R7" s="233">
        <f t="shared" ref="R7:R13" si="2">ROUND(K7,2)</f>
        <v>0</v>
      </c>
      <c r="S7" s="233" t="e">
        <f t="shared" si="1"/>
        <v>#VALUE!</v>
      </c>
      <c r="T7" s="237"/>
      <c r="U7" s="287"/>
      <c r="V7" s="287"/>
      <c r="W7" s="287"/>
      <c r="X7" s="287"/>
      <c r="Y7" s="287"/>
      <c r="Z7" s="250"/>
      <c r="AA7" s="250"/>
      <c r="AB7" s="250"/>
      <c r="AC7" s="244"/>
      <c r="AD7" s="244"/>
      <c r="AE7" s="244"/>
      <c r="AF7" s="244"/>
      <c r="AG7" s="244"/>
      <c r="AH7" s="230"/>
      <c r="AJ7" s="231"/>
      <c r="AK7" s="231"/>
      <c r="AL7" s="231"/>
      <c r="AM7" s="231"/>
    </row>
    <row r="8" spans="1:39" s="1" customFormat="1" ht="15" customHeight="1">
      <c r="B8" s="165"/>
      <c r="C8" s="104"/>
      <c r="D8" s="256" t="s">
        <v>110</v>
      </c>
      <c r="E8" s="280"/>
      <c r="F8" s="281"/>
      <c r="G8" s="281"/>
      <c r="H8" s="103"/>
      <c r="I8" s="258" t="s">
        <v>190</v>
      </c>
      <c r="J8" s="262" t="s">
        <v>189</v>
      </c>
      <c r="K8" s="273"/>
      <c r="L8" s="274" t="str">
        <f t="shared" si="0"/>
        <v/>
      </c>
      <c r="M8" s="187"/>
      <c r="N8" s="168"/>
      <c r="O8" s="229"/>
      <c r="P8" s="229"/>
      <c r="R8" s="233">
        <f t="shared" si="2"/>
        <v>0</v>
      </c>
      <c r="S8" s="233" t="e">
        <f t="shared" si="1"/>
        <v>#VALUE!</v>
      </c>
      <c r="T8" s="238"/>
      <c r="U8" s="109"/>
      <c r="V8" s="109"/>
      <c r="W8" s="109"/>
      <c r="X8" s="109"/>
      <c r="Y8" s="109"/>
      <c r="Z8" s="250"/>
      <c r="AA8" s="250"/>
      <c r="AB8" s="250"/>
      <c r="AC8" s="244"/>
      <c r="AD8" s="244"/>
      <c r="AE8" s="244"/>
      <c r="AF8" s="244"/>
      <c r="AG8" s="244"/>
      <c r="AH8" s="230"/>
      <c r="AJ8" s="231"/>
      <c r="AK8" s="231"/>
      <c r="AL8" s="231"/>
      <c r="AM8" s="231"/>
    </row>
    <row r="9" spans="1:39" s="1" customFormat="1" ht="15" customHeight="1">
      <c r="B9" s="165"/>
      <c r="C9" s="101"/>
      <c r="D9" s="256" t="s">
        <v>111</v>
      </c>
      <c r="E9" s="280"/>
      <c r="F9" s="281"/>
      <c r="G9" s="281"/>
      <c r="H9" s="103"/>
      <c r="I9" s="258" t="s">
        <v>193</v>
      </c>
      <c r="J9" s="262" t="s">
        <v>194</v>
      </c>
      <c r="K9" s="273"/>
      <c r="L9" s="274" t="str">
        <f t="shared" si="0"/>
        <v/>
      </c>
      <c r="M9" s="188"/>
      <c r="N9" s="189"/>
      <c r="O9" s="229"/>
      <c r="P9" s="229"/>
      <c r="R9" s="233">
        <f t="shared" si="2"/>
        <v>0</v>
      </c>
      <c r="S9" s="233" t="e">
        <f t="shared" si="1"/>
        <v>#VALUE!</v>
      </c>
      <c r="T9" s="254"/>
      <c r="U9" s="306"/>
      <c r="V9" s="287"/>
      <c r="W9" s="287"/>
      <c r="X9" s="287"/>
      <c r="Y9" s="287"/>
      <c r="Z9" s="250"/>
      <c r="AA9" s="250"/>
      <c r="AB9" s="250"/>
      <c r="AC9" s="244"/>
      <c r="AD9" s="244"/>
      <c r="AE9" s="244"/>
      <c r="AF9" s="244"/>
      <c r="AG9" s="244"/>
      <c r="AH9" s="230"/>
      <c r="AJ9" s="231"/>
      <c r="AK9" s="231"/>
      <c r="AL9" s="231"/>
      <c r="AM9" s="231"/>
    </row>
    <row r="10" spans="1:39" s="1" customFormat="1" ht="15" customHeight="1">
      <c r="B10" s="165"/>
      <c r="C10" s="101"/>
      <c r="D10" s="256" t="s">
        <v>112</v>
      </c>
      <c r="E10" s="280"/>
      <c r="F10" s="281"/>
      <c r="G10" s="281"/>
      <c r="H10" s="103"/>
      <c r="I10" s="258" t="s">
        <v>191</v>
      </c>
      <c r="J10" s="262" t="s">
        <v>196</v>
      </c>
      <c r="K10" s="273"/>
      <c r="L10" s="274" t="str">
        <f t="shared" si="0"/>
        <v/>
      </c>
      <c r="M10" s="188"/>
      <c r="N10" s="189"/>
      <c r="O10" s="229"/>
      <c r="P10" s="229"/>
      <c r="R10" s="233">
        <f t="shared" si="2"/>
        <v>0</v>
      </c>
      <c r="S10" s="233" t="e">
        <f t="shared" si="1"/>
        <v>#VALUE!</v>
      </c>
      <c r="T10" s="254"/>
      <c r="U10" s="287"/>
      <c r="V10" s="287"/>
      <c r="W10" s="287"/>
      <c r="X10" s="287"/>
      <c r="Y10" s="287"/>
      <c r="Z10" s="250"/>
      <c r="AA10" s="250"/>
      <c r="AB10" s="250"/>
      <c r="AC10" s="244"/>
      <c r="AD10" s="244"/>
      <c r="AE10" s="244"/>
      <c r="AF10" s="244"/>
      <c r="AG10" s="244"/>
      <c r="AH10" s="230"/>
      <c r="AJ10" s="231"/>
      <c r="AK10" s="231"/>
      <c r="AL10" s="231"/>
      <c r="AM10" s="231"/>
    </row>
    <row r="11" spans="1:39" s="1" customFormat="1" ht="15" customHeight="1">
      <c r="B11" s="165"/>
      <c r="C11" s="295" t="s">
        <v>203</v>
      </c>
      <c r="D11" s="295"/>
      <c r="E11" s="296" t="s">
        <v>204</v>
      </c>
      <c r="F11" s="276"/>
      <c r="G11" s="302" t="s">
        <v>85</v>
      </c>
      <c r="H11" s="103"/>
      <c r="I11" s="258" t="s">
        <v>192</v>
      </c>
      <c r="J11" s="262" t="s">
        <v>195</v>
      </c>
      <c r="K11" s="273"/>
      <c r="L11" s="274" t="str">
        <f t="shared" si="0"/>
        <v/>
      </c>
      <c r="M11" s="190"/>
      <c r="N11" s="169"/>
      <c r="O11" s="229"/>
      <c r="P11" s="229"/>
      <c r="R11" s="233">
        <f t="shared" si="2"/>
        <v>0</v>
      </c>
      <c r="S11" s="233" t="e">
        <f t="shared" si="1"/>
        <v>#VALUE!</v>
      </c>
      <c r="T11" s="238"/>
      <c r="U11" s="253"/>
      <c r="V11" s="253"/>
      <c r="W11" s="253"/>
      <c r="X11" s="253"/>
      <c r="Y11" s="253"/>
      <c r="Z11" s="250"/>
      <c r="AA11" s="250"/>
      <c r="AB11" s="250"/>
      <c r="AC11" s="244"/>
      <c r="AD11" s="244"/>
      <c r="AE11" s="244"/>
      <c r="AF11" s="244"/>
      <c r="AG11" s="244"/>
      <c r="AH11" s="230"/>
      <c r="AJ11" s="231"/>
      <c r="AK11" s="231"/>
      <c r="AL11" s="231"/>
      <c r="AM11" s="231"/>
    </row>
    <row r="12" spans="1:39" s="1" customFormat="1" ht="15" customHeight="1">
      <c r="B12" s="165"/>
      <c r="C12" s="295"/>
      <c r="D12" s="295"/>
      <c r="E12" s="297"/>
      <c r="F12" s="276"/>
      <c r="G12" s="303"/>
      <c r="H12" s="103"/>
      <c r="I12" s="258" t="s">
        <v>174</v>
      </c>
      <c r="J12" s="262" t="s">
        <v>198</v>
      </c>
      <c r="K12" s="273"/>
      <c r="L12" s="274" t="str">
        <f t="shared" si="0"/>
        <v/>
      </c>
      <c r="M12" s="190"/>
      <c r="N12" s="169"/>
      <c r="O12" s="229"/>
      <c r="P12" s="229"/>
      <c r="R12" s="233">
        <f t="shared" si="2"/>
        <v>0</v>
      </c>
      <c r="S12" s="233" t="e">
        <f t="shared" si="1"/>
        <v>#VALUE!</v>
      </c>
      <c r="T12" s="254"/>
      <c r="U12" s="305"/>
      <c r="V12" s="305"/>
      <c r="W12" s="305"/>
      <c r="X12" s="305"/>
      <c r="Y12" s="305"/>
      <c r="Z12" s="250"/>
      <c r="AA12" s="250"/>
      <c r="AB12" s="250"/>
      <c r="AC12" s="244"/>
      <c r="AD12" s="244"/>
      <c r="AE12" s="244"/>
      <c r="AF12" s="244"/>
      <c r="AG12" s="244"/>
      <c r="AH12" s="230"/>
      <c r="AJ12" s="231"/>
      <c r="AK12" s="231"/>
      <c r="AL12" s="231"/>
      <c r="AM12" s="231"/>
    </row>
    <row r="13" spans="1:39" s="1" customFormat="1" ht="15" customHeight="1">
      <c r="B13" s="165"/>
      <c r="C13" s="257"/>
      <c r="D13" s="268" t="s">
        <v>185</v>
      </c>
      <c r="E13" s="298"/>
      <c r="F13" s="299"/>
      <c r="G13" s="299"/>
      <c r="I13" s="271" t="s">
        <v>202</v>
      </c>
      <c r="J13" s="272"/>
      <c r="K13" s="267"/>
      <c r="L13" s="259" t="str">
        <f t="shared" si="0"/>
        <v/>
      </c>
      <c r="M13" s="188"/>
      <c r="N13" s="189"/>
      <c r="O13" s="229"/>
      <c r="P13" s="229"/>
      <c r="R13" s="233">
        <f t="shared" si="2"/>
        <v>0</v>
      </c>
      <c r="S13" s="233" t="e">
        <f t="shared" si="1"/>
        <v>#VALUE!</v>
      </c>
      <c r="T13" s="254"/>
      <c r="U13" s="305"/>
      <c r="V13" s="305"/>
      <c r="W13" s="305"/>
      <c r="X13" s="305"/>
      <c r="Y13" s="305"/>
      <c r="Z13" s="250"/>
      <c r="AA13" s="250"/>
      <c r="AB13" s="250"/>
      <c r="AC13" s="244"/>
      <c r="AD13" s="244"/>
      <c r="AE13" s="244"/>
      <c r="AF13" s="244"/>
      <c r="AG13" s="244"/>
      <c r="AH13" s="230"/>
      <c r="AJ13" s="231"/>
      <c r="AK13" s="231"/>
      <c r="AL13" s="231"/>
      <c r="AM13" s="231"/>
    </row>
    <row r="14" spans="1:39" s="1" customFormat="1" ht="15" customHeight="1">
      <c r="B14" s="165"/>
      <c r="C14" s="101"/>
      <c r="D14" s="268" t="s">
        <v>182</v>
      </c>
      <c r="E14" s="298"/>
      <c r="F14" s="299"/>
      <c r="G14" s="299"/>
      <c r="H14" s="105"/>
      <c r="I14" s="265" t="s">
        <v>199</v>
      </c>
      <c r="J14" s="266"/>
      <c r="K14" s="275" t="str">
        <f>IF(AND(JL_1&gt;0,LPG_1&gt;0,JGL_1&gt;0,JGM_1&gt;0,JGU_1&gt;0,JGT_1&gt;0,JH_1&gt;0),0.1125*JL_1*(1.445*LPG_1+2*JGL_1+2*JGM_1+1.5*JGU_1+JGT_1+0.5*JH_1),"")</f>
        <v/>
      </c>
      <c r="L14" s="275" t="str">
        <f>IF(AND(JL_1&gt;0,LPG_1&gt;0,JGL_1&gt;0,JGM_1&gt;0,JGU_1&gt;0,JGT_1&gt;0,JH_1&gt;0),0.1125*JL_1a*(1.445*LPG_1a+2*JGL_1a+2*JGM_1a+1.5*JGU_1a+JGT_1a+0.5*JH_1a),"")</f>
        <v/>
      </c>
      <c r="M14" s="264"/>
      <c r="N14" s="191"/>
      <c r="O14" s="229"/>
      <c r="P14" s="229"/>
      <c r="R14" s="233">
        <f>IF(AND(LPG_1&gt;0,JGU_1&gt;0,JGM_1&gt;0,JGL_1&gt;0),ROUND(MAX(MAX(JGU_1-0.25*LPG_1,JGM_1-0.5*LPG_1,JGL_1-0.75*LPG_1),0),2),0)</f>
        <v>0</v>
      </c>
      <c r="S14" s="233" t="str">
        <f>IF(R14&gt;0,ROUND(#REF!,2),IF(M16&gt;0,ROUND(IF($S$1=1,M16/0.3048,M16*0.3048),2),""))</f>
        <v/>
      </c>
      <c r="T14" s="254"/>
      <c r="Z14" s="250"/>
      <c r="AA14" s="250"/>
      <c r="AB14" s="250"/>
      <c r="AC14" s="244"/>
      <c r="AD14" s="244"/>
      <c r="AE14" s="244"/>
      <c r="AF14" s="244"/>
      <c r="AG14" s="244"/>
      <c r="AH14" s="230"/>
      <c r="AJ14" s="231"/>
      <c r="AK14" s="231"/>
      <c r="AL14" s="231"/>
      <c r="AM14" s="231"/>
    </row>
    <row r="15" spans="1:39" s="1" customFormat="1" ht="15" customHeight="1">
      <c r="B15" s="165"/>
      <c r="C15" s="101"/>
      <c r="D15" s="268" t="s">
        <v>183</v>
      </c>
      <c r="E15" s="298"/>
      <c r="F15" s="299"/>
      <c r="G15" s="299"/>
      <c r="I15" s="269" t="s">
        <v>7</v>
      </c>
      <c r="J15" s="270"/>
      <c r="K15" s="259" t="str">
        <f>IF(AND(JL_1&gt;0,LPG_1&gt;0,JGM_1&gt;0,JGU_1&gt;0,JGT_1&gt;0),0.0625*JL_1*(4*LPG_1 + 6*JGM_1 + 3*JGU_1 + 2*JGT_1 + 0.09),"")</f>
        <v/>
      </c>
      <c r="L15" s="260" t="str">
        <f>IF(AND(JL_1&gt;0,LPG_1&gt;0,JGM_1&gt;0,JGU_1&gt;0,JGT_1&gt;0),0.0625*JL_1a*(4*LPG_1a + 6*JGM_1a + 3*JGU_1a + 2*JGT_1a + 0.09),"")</f>
        <v/>
      </c>
      <c r="M15" s="188"/>
      <c r="N15" s="189"/>
      <c r="O15" s="229"/>
      <c r="P15" s="229"/>
      <c r="R15" s="160" t="b">
        <f>ISNUMBER(M15)</f>
        <v>0</v>
      </c>
      <c r="S15" s="233"/>
      <c r="T15" s="128"/>
      <c r="U15" s="307"/>
      <c r="V15" s="308"/>
      <c r="W15" s="308"/>
      <c r="X15" s="308"/>
      <c r="Y15" s="308"/>
      <c r="Z15" s="239"/>
      <c r="AA15" s="239"/>
      <c r="AB15" s="239"/>
      <c r="AC15" s="239"/>
      <c r="AD15" s="240"/>
      <c r="AE15" s="239"/>
      <c r="AF15" s="239"/>
      <c r="AG15" s="239"/>
      <c r="AH15" s="230"/>
    </row>
    <row r="16" spans="1:39" s="1" customFormat="1" ht="15" customHeight="1">
      <c r="B16" s="165"/>
      <c r="C16" s="101"/>
      <c r="D16" s="268" t="s">
        <v>184</v>
      </c>
      <c r="E16" s="300"/>
      <c r="F16" s="301"/>
      <c r="G16" s="301"/>
      <c r="H16" s="105"/>
      <c r="I16" s="269" t="s">
        <v>197</v>
      </c>
      <c r="J16" s="270"/>
      <c r="K16" s="259" t="str">
        <f>IF(AND(JL_1&gt;0,LPG_1&gt;0,JGL_1&gt;0,JGM_1&gt;0,JGU_1&gt;0,JGT_1&gt;0,JH_1&gt;0),0.1125*JL_1*(1.445*LPG_1+2*JGL_1+2*JGM_1+1.5*JGU_1+JGT_1+0.5*JH_1),"")</f>
        <v/>
      </c>
      <c r="L16" s="259" t="str">
        <f>IF(AND(JL_1&gt;0,LPG_1&gt;0,JGL_1&gt;0,JGM_1&gt;0,JGU_1&gt;0,JGT_1&gt;0,JH_1&gt;0),0.1125*JL_1a*(1.445*LPG_1a+2*JGL_1a+2*JGM_1a+1.5*JGU_1a+JGT_1a+0.5*JH_1a),"")</f>
        <v/>
      </c>
      <c r="M16" s="245"/>
      <c r="N16" s="189"/>
      <c r="O16" s="229"/>
      <c r="P16" s="229"/>
      <c r="R16" s="160" t="b">
        <f>ISNUMBER(M16)</f>
        <v>0</v>
      </c>
      <c r="S16" s="233"/>
      <c r="T16" s="127"/>
      <c r="Z16" s="127"/>
      <c r="AA16" s="127"/>
      <c r="AB16" s="127"/>
      <c r="AC16" s="127"/>
      <c r="AD16" s="127"/>
      <c r="AE16" s="123"/>
      <c r="AF16" s="123"/>
      <c r="AG16" s="123"/>
      <c r="AH16" s="230"/>
    </row>
    <row r="17" spans="2:35" s="1" customFormat="1" ht="15" customHeight="1">
      <c r="B17" s="165"/>
      <c r="C17" s="101"/>
      <c r="D17" s="268"/>
      <c r="E17" s="109"/>
      <c r="F17" s="105"/>
      <c r="G17" s="105"/>
      <c r="H17" s="106"/>
      <c r="L17" s="277" t="s">
        <v>166</v>
      </c>
      <c r="M17" s="111"/>
      <c r="N17" s="166"/>
      <c r="O17" s="229"/>
      <c r="P17" s="229"/>
      <c r="R17" s="123"/>
      <c r="S17" s="124"/>
      <c r="T17" s="124"/>
      <c r="U17" s="248"/>
      <c r="V17" s="251"/>
      <c r="W17" s="249"/>
      <c r="X17" s="251"/>
      <c r="Y17" s="251"/>
      <c r="Z17" s="127"/>
      <c r="AA17" s="124"/>
      <c r="AB17" s="127"/>
      <c r="AC17" s="127"/>
      <c r="AD17" s="127"/>
      <c r="AE17" s="124"/>
      <c r="AF17" s="123"/>
      <c r="AG17" s="123"/>
      <c r="AH17" s="230"/>
    </row>
    <row r="18" spans="2:35" s="1" customFormat="1" ht="15" customHeight="1">
      <c r="B18" s="165"/>
      <c r="C18" s="104"/>
      <c r="D18" s="268" t="s">
        <v>207</v>
      </c>
      <c r="E18" s="100"/>
      <c r="F18" s="103"/>
      <c r="G18" s="103"/>
      <c r="H18" s="103"/>
      <c r="I18" s="106"/>
      <c r="J18" s="111"/>
      <c r="K18" s="111"/>
      <c r="L18" s="111"/>
      <c r="M18" s="157"/>
      <c r="N18" s="166"/>
      <c r="O18" s="232"/>
      <c r="P18" s="225"/>
      <c r="R18" s="130"/>
      <c r="S18" s="131"/>
      <c r="T18" s="131"/>
      <c r="U18" s="108"/>
      <c r="V18" s="108"/>
      <c r="W18" s="108"/>
      <c r="X18" s="108"/>
      <c r="Y18" s="108"/>
      <c r="Z18" s="127"/>
      <c r="AA18" s="131"/>
      <c r="AB18" s="127"/>
      <c r="AC18" s="127"/>
      <c r="AD18" s="127"/>
      <c r="AE18" s="123"/>
      <c r="AF18" s="123"/>
      <c r="AG18" s="123"/>
      <c r="AH18" s="230"/>
    </row>
    <row r="19" spans="2:35" s="1" customFormat="1" ht="15" customHeight="1">
      <c r="B19" s="165"/>
      <c r="C19" s="101"/>
      <c r="D19" s="104"/>
      <c r="E19" s="100"/>
      <c r="F19" s="103"/>
      <c r="G19" s="103"/>
      <c r="H19" s="103"/>
      <c r="I19" s="103"/>
      <c r="J19" s="156"/>
      <c r="K19" s="156"/>
      <c r="L19" s="157"/>
      <c r="M19" s="139"/>
      <c r="N19" s="166"/>
      <c r="O19" s="232"/>
      <c r="P19" s="225"/>
      <c r="R19" s="95">
        <f>IF(R14&gt;0,2,1)</f>
        <v>1</v>
      </c>
      <c r="S19" s="123"/>
      <c r="T19" s="123"/>
      <c r="U19" s="241"/>
      <c r="V19" s="108"/>
      <c r="W19" s="108"/>
      <c r="X19" s="108"/>
      <c r="Y19" s="108"/>
      <c r="Z19" s="123"/>
      <c r="AA19" s="123"/>
      <c r="AB19" s="251"/>
      <c r="AC19" s="123"/>
      <c r="AD19" s="126"/>
      <c r="AE19" s="123"/>
      <c r="AF19" s="126"/>
      <c r="AG19" s="126"/>
      <c r="AH19" s="230"/>
      <c r="AI19" s="231"/>
    </row>
    <row r="20" spans="2:35" s="1" customFormat="1" ht="15" customHeight="1">
      <c r="B20" s="165"/>
      <c r="C20" s="101"/>
      <c r="D20" s="104"/>
      <c r="E20" s="100"/>
      <c r="F20" s="105"/>
      <c r="G20" s="103"/>
      <c r="H20" s="103"/>
      <c r="I20" s="103"/>
      <c r="J20" s="156"/>
      <c r="K20" s="156"/>
      <c r="L20" s="139"/>
      <c r="M20" s="158"/>
      <c r="N20" s="166"/>
      <c r="O20" s="232"/>
      <c r="P20" s="225"/>
      <c r="R20" s="95"/>
      <c r="S20" s="123"/>
      <c r="T20" s="123"/>
      <c r="Z20" s="123"/>
      <c r="AA20" s="123"/>
      <c r="AB20" s="251"/>
      <c r="AC20" s="123"/>
      <c r="AD20" s="126"/>
      <c r="AE20" s="123"/>
      <c r="AF20" s="126"/>
      <c r="AG20" s="126"/>
      <c r="AH20" s="230"/>
      <c r="AI20" s="231"/>
    </row>
    <row r="21" spans="2:35" s="1" customFormat="1" ht="15" customHeight="1">
      <c r="B21" s="165"/>
      <c r="C21" s="101"/>
      <c r="D21" s="104"/>
      <c r="E21" s="100"/>
      <c r="F21" s="103"/>
      <c r="G21" s="103"/>
      <c r="H21" s="103"/>
      <c r="I21" s="103"/>
      <c r="J21" s="156"/>
      <c r="K21" s="156"/>
      <c r="L21" s="158"/>
      <c r="M21" s="156"/>
      <c r="N21" s="166"/>
      <c r="O21" s="232"/>
      <c r="P21" s="225"/>
      <c r="R21" s="95"/>
      <c r="S21" s="123"/>
      <c r="T21" s="123"/>
      <c r="U21" s="286"/>
      <c r="V21" s="287"/>
      <c r="W21" s="287"/>
      <c r="X21" s="287"/>
      <c r="Y21" s="287"/>
      <c r="Z21" s="123"/>
      <c r="AA21" s="123"/>
      <c r="AB21" s="251"/>
      <c r="AC21" s="123"/>
      <c r="AD21" s="125"/>
      <c r="AE21" s="123"/>
      <c r="AF21" s="125"/>
      <c r="AG21" s="125"/>
      <c r="AH21" s="230"/>
    </row>
    <row r="22" spans="2:35" s="1" customFormat="1" ht="15" customHeight="1">
      <c r="B22" s="165"/>
      <c r="C22" s="101"/>
      <c r="D22" s="104"/>
      <c r="E22" s="100"/>
      <c r="F22" s="103"/>
      <c r="G22" s="103"/>
      <c r="H22" s="103"/>
      <c r="I22" s="103"/>
      <c r="J22" s="156"/>
      <c r="K22" s="156"/>
      <c r="L22" s="156"/>
      <c r="M22" s="156"/>
      <c r="N22" s="166"/>
      <c r="O22" s="232"/>
      <c r="P22" s="225"/>
      <c r="R22" s="95"/>
      <c r="S22" s="123"/>
      <c r="T22" s="123"/>
      <c r="U22" s="287"/>
      <c r="V22" s="287"/>
      <c r="W22" s="287"/>
      <c r="X22" s="287"/>
      <c r="Y22" s="287"/>
      <c r="Z22" s="123"/>
      <c r="AA22" s="123"/>
      <c r="AB22" s="251"/>
      <c r="AD22" s="126"/>
      <c r="AE22" s="123"/>
      <c r="AF22" s="126"/>
      <c r="AG22" s="126"/>
      <c r="AH22" s="230"/>
      <c r="AI22" s="231"/>
    </row>
    <row r="23" spans="2:35" s="1" customFormat="1" ht="15" customHeight="1">
      <c r="B23" s="165"/>
      <c r="C23" s="101"/>
      <c r="D23" s="104"/>
      <c r="E23" s="101"/>
      <c r="F23" s="103"/>
      <c r="G23" s="105"/>
      <c r="H23" s="103"/>
      <c r="I23" s="103"/>
      <c r="J23" s="156"/>
      <c r="K23" s="156"/>
      <c r="L23" s="156"/>
      <c r="M23" s="158"/>
      <c r="N23" s="166"/>
      <c r="O23" s="232"/>
      <c r="P23" s="225"/>
      <c r="R23" s="95"/>
      <c r="S23" s="123"/>
      <c r="T23" s="123"/>
      <c r="U23" s="108"/>
      <c r="V23" s="108"/>
      <c r="W23" s="108"/>
      <c r="X23" s="108"/>
      <c r="Y23" s="108"/>
      <c r="Z23" s="123"/>
      <c r="AA23" s="123"/>
      <c r="AB23" s="251"/>
      <c r="AC23" s="123"/>
      <c r="AD23" s="126"/>
      <c r="AE23" s="123"/>
      <c r="AF23" s="126"/>
      <c r="AG23" s="126"/>
      <c r="AH23" s="230"/>
      <c r="AI23" s="231"/>
    </row>
    <row r="24" spans="2:35" s="1" customFormat="1" ht="15" customHeight="1">
      <c r="B24" s="165"/>
      <c r="C24" s="101"/>
      <c r="D24" s="104"/>
      <c r="E24" s="100"/>
      <c r="F24" s="105"/>
      <c r="G24" s="105"/>
      <c r="H24" s="103"/>
      <c r="I24" s="103"/>
      <c r="J24" s="156"/>
      <c r="K24" s="156"/>
      <c r="L24" s="158"/>
      <c r="M24" s="158"/>
      <c r="N24" s="166"/>
      <c r="O24" s="232"/>
      <c r="P24" s="225"/>
      <c r="R24" s="130"/>
      <c r="S24" s="131"/>
      <c r="T24" s="131"/>
      <c r="U24" s="288"/>
      <c r="V24" s="287"/>
      <c r="W24" s="287"/>
      <c r="X24" s="287"/>
      <c r="Y24" s="289"/>
      <c r="Z24" s="127"/>
      <c r="AA24" s="131"/>
      <c r="AB24" s="127"/>
      <c r="AC24" s="127"/>
      <c r="AD24" s="127"/>
      <c r="AE24" s="123"/>
      <c r="AF24" s="123"/>
      <c r="AG24" s="123"/>
      <c r="AH24" s="230"/>
    </row>
    <row r="25" spans="2:35" s="1" customFormat="1" ht="15" customHeight="1">
      <c r="B25" s="165"/>
      <c r="C25" s="101"/>
      <c r="D25" s="100"/>
      <c r="E25" s="140"/>
      <c r="F25" s="105"/>
      <c r="G25" s="103"/>
      <c r="H25" s="105"/>
      <c r="I25" s="103"/>
      <c r="J25" s="156"/>
      <c r="K25" s="156"/>
      <c r="L25" s="158"/>
      <c r="M25" s="141"/>
      <c r="N25" s="166"/>
      <c r="O25" s="232"/>
      <c r="P25" s="225"/>
      <c r="R25" s="130"/>
      <c r="S25" s="131"/>
      <c r="T25" s="131"/>
      <c r="U25" s="290"/>
      <c r="V25" s="291"/>
      <c r="W25" s="291"/>
      <c r="X25" s="291"/>
      <c r="Y25" s="289"/>
      <c r="Z25" s="127"/>
      <c r="AA25" s="131"/>
      <c r="AB25" s="127"/>
      <c r="AC25" s="127"/>
      <c r="AD25" s="127"/>
      <c r="AE25" s="123"/>
      <c r="AF25" s="123"/>
      <c r="AG25" s="123"/>
      <c r="AH25" s="230"/>
    </row>
    <row r="26" spans="2:35" s="1" customFormat="1" ht="15" customHeight="1">
      <c r="B26" s="165"/>
      <c r="C26" s="101"/>
      <c r="D26" s="104"/>
      <c r="E26" s="100"/>
      <c r="F26" s="105"/>
      <c r="G26" s="103"/>
      <c r="H26" s="105"/>
      <c r="I26" s="105"/>
      <c r="J26" s="156"/>
      <c r="K26" s="156"/>
      <c r="L26" s="139"/>
      <c r="M26" s="158"/>
      <c r="N26" s="166"/>
      <c r="O26" s="232"/>
      <c r="P26" s="225"/>
      <c r="R26" s="130"/>
      <c r="S26" s="131"/>
      <c r="T26" s="131"/>
      <c r="U26" s="292"/>
      <c r="V26" s="293"/>
      <c r="W26" s="293"/>
      <c r="X26" s="293"/>
      <c r="Y26" s="294"/>
      <c r="Z26" s="127"/>
      <c r="AA26" s="131"/>
      <c r="AB26" s="127"/>
      <c r="AC26" s="127"/>
      <c r="AD26" s="127"/>
      <c r="AE26" s="123"/>
      <c r="AF26" s="123"/>
      <c r="AG26" s="123"/>
      <c r="AH26" s="230"/>
    </row>
    <row r="27" spans="2:35" s="1" customFormat="1" ht="15" customHeight="1">
      <c r="B27" s="165"/>
      <c r="C27" s="101"/>
      <c r="D27" s="104"/>
      <c r="E27" s="100"/>
      <c r="F27" s="105"/>
      <c r="G27" s="105"/>
      <c r="H27" s="106"/>
      <c r="I27" s="105"/>
      <c r="J27" s="156"/>
      <c r="K27" s="156"/>
      <c r="L27" s="158"/>
      <c r="M27" s="158"/>
      <c r="N27" s="166"/>
      <c r="O27" s="232"/>
      <c r="P27" s="225"/>
      <c r="Z27" s="127"/>
      <c r="AA27" s="131"/>
      <c r="AB27" s="127"/>
      <c r="AC27" s="127"/>
      <c r="AD27" s="127"/>
      <c r="AE27" s="123"/>
      <c r="AF27" s="123"/>
      <c r="AG27" s="123"/>
      <c r="AH27" s="230"/>
    </row>
    <row r="28" spans="2:35" s="1" customFormat="1" ht="15" customHeight="1">
      <c r="B28" s="165"/>
      <c r="C28" s="101"/>
      <c r="D28" s="104"/>
      <c r="E28" s="100"/>
      <c r="F28" s="105"/>
      <c r="G28" s="105"/>
      <c r="H28" s="106"/>
      <c r="I28" s="106"/>
      <c r="J28" s="156"/>
      <c r="K28" s="156"/>
      <c r="L28" s="158"/>
      <c r="M28" s="156"/>
      <c r="N28" s="166"/>
      <c r="O28" s="232"/>
      <c r="P28" s="225"/>
      <c r="R28" s="130"/>
      <c r="S28" s="131"/>
      <c r="T28" s="131"/>
      <c r="U28" s="131"/>
      <c r="V28" s="131"/>
      <c r="W28" s="131"/>
      <c r="X28" s="131"/>
      <c r="Y28" s="131"/>
      <c r="Z28" s="127"/>
      <c r="AA28" s="131"/>
      <c r="AB28" s="127"/>
      <c r="AC28" s="127"/>
      <c r="AD28" s="127"/>
      <c r="AE28" s="123"/>
      <c r="AF28" s="123"/>
      <c r="AG28" s="123"/>
      <c r="AH28" s="230"/>
    </row>
    <row r="29" spans="2:35" s="1" customFormat="1" ht="15" customHeight="1">
      <c r="B29" s="165"/>
      <c r="C29" s="101"/>
      <c r="D29" s="104"/>
      <c r="E29" s="100"/>
      <c r="F29" s="105"/>
      <c r="G29" s="105"/>
      <c r="H29" s="106"/>
      <c r="I29" s="106"/>
      <c r="J29" s="156"/>
      <c r="K29" s="156"/>
      <c r="L29" s="156"/>
      <c r="M29" s="156"/>
      <c r="N29" s="166"/>
      <c r="O29" s="232"/>
      <c r="P29" s="225"/>
      <c r="R29" s="132"/>
      <c r="S29" s="131"/>
      <c r="T29" s="131"/>
      <c r="U29" s="131"/>
      <c r="V29" s="131"/>
      <c r="W29" s="132"/>
      <c r="X29" s="236"/>
      <c r="Y29" s="129"/>
      <c r="Z29" s="125"/>
      <c r="AA29" s="125"/>
      <c r="AB29" s="127"/>
      <c r="AC29" s="125"/>
      <c r="AD29" s="125"/>
      <c r="AE29" s="125"/>
      <c r="AF29" s="123"/>
      <c r="AG29" s="125"/>
      <c r="AH29" s="230"/>
    </row>
    <row r="30" spans="2:35" s="1" customFormat="1" ht="15" customHeight="1">
      <c r="B30" s="165"/>
      <c r="C30" s="111"/>
      <c r="D30" s="111"/>
      <c r="E30" s="111"/>
      <c r="F30" s="111"/>
      <c r="G30" s="111"/>
      <c r="H30" s="111"/>
      <c r="I30" s="106"/>
      <c r="J30" s="156"/>
      <c r="K30" s="156"/>
      <c r="L30" s="156"/>
      <c r="M30" s="156"/>
      <c r="N30" s="166"/>
      <c r="O30" s="232"/>
      <c r="P30" s="225"/>
      <c r="Z30" s="125"/>
      <c r="AA30" s="125"/>
      <c r="AB30" s="127"/>
      <c r="AC30" s="125"/>
      <c r="AD30" s="125"/>
      <c r="AE30" s="125"/>
      <c r="AF30" s="123"/>
      <c r="AG30" s="125"/>
      <c r="AH30" s="230"/>
    </row>
    <row r="31" spans="2:35" s="1" customFormat="1" ht="12" customHeight="1">
      <c r="B31" s="165"/>
      <c r="C31" s="111"/>
      <c r="D31" s="111"/>
      <c r="E31" s="111"/>
      <c r="F31" s="111"/>
      <c r="G31" s="111"/>
      <c r="H31" s="111"/>
      <c r="I31" s="111"/>
      <c r="J31" s="111"/>
      <c r="K31" s="111"/>
      <c r="L31" s="156"/>
      <c r="M31" s="156"/>
      <c r="N31" s="166"/>
      <c r="O31" s="232"/>
      <c r="P31" s="225"/>
      <c r="Y31" s="246"/>
      <c r="Z31" s="127"/>
      <c r="AA31" s="131"/>
      <c r="AB31" s="127"/>
      <c r="AC31" s="127"/>
      <c r="AD31" s="127"/>
      <c r="AE31" s="123"/>
      <c r="AF31" s="123"/>
      <c r="AG31" s="127"/>
      <c r="AH31" s="230"/>
    </row>
    <row r="32" spans="2:35" s="1" customFormat="1" ht="12" customHeight="1">
      <c r="B32" s="165"/>
      <c r="C32" s="104"/>
      <c r="D32" s="100"/>
      <c r="E32" s="101"/>
      <c r="F32" s="103"/>
      <c r="G32" s="103"/>
      <c r="H32" s="103"/>
      <c r="I32" s="111"/>
      <c r="J32" s="111"/>
      <c r="K32" s="111"/>
      <c r="L32" s="156"/>
      <c r="M32" s="156"/>
      <c r="N32" s="166"/>
      <c r="O32" s="229"/>
      <c r="P32" s="229"/>
      <c r="R32" s="95"/>
      <c r="S32" s="125"/>
      <c r="T32" s="125"/>
      <c r="U32" s="125"/>
      <c r="V32" s="125"/>
      <c r="W32" s="125"/>
      <c r="X32" s="125"/>
      <c r="Y32" s="125"/>
      <c r="Z32" s="125"/>
      <c r="AA32" s="125"/>
      <c r="AB32" s="127"/>
      <c r="AC32" s="125"/>
      <c r="AD32" s="125"/>
      <c r="AE32" s="125"/>
      <c r="AF32" s="123"/>
      <c r="AG32" s="125"/>
      <c r="AH32" s="230"/>
    </row>
    <row r="33" spans="2:36" s="1" customFormat="1" ht="12" customHeight="1">
      <c r="B33" s="165"/>
      <c r="C33" s="101"/>
      <c r="D33" s="104"/>
      <c r="E33" s="101"/>
      <c r="F33" s="105"/>
      <c r="G33" s="103"/>
      <c r="H33" s="105"/>
      <c r="I33" s="103"/>
      <c r="J33" s="156"/>
      <c r="K33" s="156"/>
      <c r="L33" s="156"/>
      <c r="M33" s="156"/>
      <c r="N33" s="166"/>
      <c r="O33" s="225"/>
      <c r="P33" s="225"/>
      <c r="R33" s="95"/>
      <c r="S33" s="125"/>
      <c r="T33" s="125"/>
      <c r="U33" s="125"/>
      <c r="V33" s="125"/>
      <c r="W33" s="125"/>
      <c r="X33" s="125"/>
      <c r="Y33" s="125"/>
      <c r="Z33" s="125"/>
      <c r="AA33" s="125"/>
      <c r="AB33" s="127"/>
      <c r="AC33" s="125"/>
      <c r="AD33" s="125"/>
      <c r="AE33" s="125"/>
      <c r="AF33" s="123"/>
      <c r="AG33" s="125"/>
      <c r="AH33" s="230"/>
    </row>
    <row r="34" spans="2:36" s="1" customFormat="1" ht="12" customHeight="1">
      <c r="B34" s="165"/>
      <c r="C34" s="101"/>
      <c r="D34" s="104"/>
      <c r="E34" s="101"/>
      <c r="F34" s="103"/>
      <c r="G34" s="105"/>
      <c r="H34" s="105"/>
      <c r="I34" s="105"/>
      <c r="J34" s="156"/>
      <c r="K34" s="156"/>
      <c r="L34" s="156"/>
      <c r="M34" s="156"/>
      <c r="N34" s="166"/>
      <c r="O34" s="225"/>
      <c r="P34" s="225"/>
      <c r="S34" s="112"/>
      <c r="T34" s="133"/>
      <c r="U34" s="133"/>
      <c r="V34" s="112"/>
      <c r="W34" s="112"/>
      <c r="X34" s="112"/>
      <c r="Y34" s="112"/>
      <c r="Z34" s="112"/>
      <c r="AA34" s="112"/>
      <c r="AB34" s="112"/>
      <c r="AC34" s="112"/>
      <c r="AD34" s="112"/>
      <c r="AE34" s="112"/>
      <c r="AF34" s="112"/>
      <c r="AG34" s="112"/>
    </row>
    <row r="35" spans="2:36" s="1" customFormat="1" ht="12" customHeight="1">
      <c r="B35" s="165"/>
      <c r="C35" s="101"/>
      <c r="D35" s="100"/>
      <c r="E35" s="101"/>
      <c r="F35" s="105"/>
      <c r="G35" s="103"/>
      <c r="H35" s="103"/>
      <c r="I35" s="105"/>
      <c r="J35" s="156"/>
      <c r="K35" s="156"/>
      <c r="L35" s="156"/>
      <c r="M35" s="156"/>
      <c r="N35" s="166"/>
      <c r="O35" s="113"/>
      <c r="P35" s="113"/>
      <c r="S35" s="112"/>
      <c r="T35" s="112"/>
      <c r="U35" s="112"/>
      <c r="V35" s="112"/>
      <c r="W35" s="112"/>
      <c r="X35" s="112"/>
      <c r="Y35" s="112"/>
      <c r="Z35" s="112"/>
      <c r="AA35" s="112"/>
      <c r="AB35" s="112"/>
      <c r="AC35" s="112"/>
      <c r="AD35" s="112"/>
      <c r="AE35" s="112"/>
      <c r="AF35" s="112"/>
      <c r="AG35" s="112"/>
    </row>
    <row r="36" spans="2:36" s="1" customFormat="1" ht="12" customHeight="1">
      <c r="B36" s="165"/>
      <c r="C36" s="101"/>
      <c r="D36" s="104"/>
      <c r="E36" s="101"/>
      <c r="F36" s="103"/>
      <c r="G36" s="103"/>
      <c r="H36" s="103"/>
      <c r="I36" s="103"/>
      <c r="J36" s="156"/>
      <c r="K36" s="156"/>
      <c r="L36" s="156"/>
      <c r="M36" s="156"/>
      <c r="N36" s="166"/>
      <c r="O36" s="113"/>
      <c r="P36" s="224"/>
      <c r="S36" s="112"/>
      <c r="T36" s="112"/>
      <c r="U36" s="112"/>
      <c r="V36" s="112"/>
      <c r="W36" s="112"/>
      <c r="X36" s="112"/>
      <c r="Y36" s="112"/>
      <c r="Z36" s="112"/>
      <c r="AA36" s="133"/>
      <c r="AB36" s="112"/>
      <c r="AC36" s="133"/>
      <c r="AD36" s="112"/>
      <c r="AE36" s="133"/>
      <c r="AF36" s="112"/>
      <c r="AG36" s="112"/>
    </row>
    <row r="37" spans="2:36" s="1" customFormat="1" ht="12" customHeight="1">
      <c r="B37" s="165"/>
      <c r="C37" s="101"/>
      <c r="D37" s="104"/>
      <c r="E37" s="101"/>
      <c r="F37" s="103"/>
      <c r="G37" s="102"/>
      <c r="H37" s="102"/>
      <c r="I37" s="103"/>
      <c r="J37" s="156"/>
      <c r="K37" s="156"/>
      <c r="L37" s="156"/>
      <c r="M37" s="156"/>
      <c r="N37" s="166"/>
      <c r="O37" s="113"/>
      <c r="P37" s="113"/>
      <c r="S37" s="121"/>
      <c r="T37" s="121"/>
      <c r="U37" s="121"/>
      <c r="V37" s="121"/>
      <c r="W37" s="121"/>
      <c r="X37" s="121"/>
      <c r="Y37" s="121"/>
      <c r="Z37" s="121"/>
      <c r="AA37" s="121"/>
      <c r="AB37" s="121"/>
      <c r="AC37" s="121"/>
      <c r="AD37" s="121"/>
    </row>
    <row r="38" spans="2:36" s="1" customFormat="1" ht="12" customHeight="1">
      <c r="B38" s="165"/>
      <c r="C38" s="101"/>
      <c r="D38" s="104"/>
      <c r="E38" s="101"/>
      <c r="F38" s="102"/>
      <c r="G38" s="103"/>
      <c r="H38" s="102"/>
      <c r="I38" s="102"/>
      <c r="J38" s="156"/>
      <c r="K38" s="156"/>
      <c r="L38" s="156"/>
      <c r="M38" s="156"/>
      <c r="N38" s="166"/>
      <c r="O38" s="113"/>
      <c r="P38" s="113"/>
      <c r="R38" s="112"/>
      <c r="S38" s="112"/>
      <c r="T38" s="112"/>
      <c r="U38" s="112"/>
      <c r="V38" s="112"/>
      <c r="W38" s="112"/>
      <c r="X38" s="112"/>
      <c r="Y38" s="112"/>
      <c r="Z38" s="112"/>
      <c r="AA38" s="112"/>
      <c r="AB38" s="112"/>
      <c r="AC38" s="112"/>
      <c r="AD38" s="112"/>
      <c r="AE38" s="112"/>
      <c r="AF38" s="112"/>
      <c r="AG38" s="112"/>
    </row>
    <row r="39" spans="2:36" s="1" customFormat="1" ht="12" customHeight="1">
      <c r="B39" s="165"/>
      <c r="C39" s="101"/>
      <c r="D39" s="100"/>
      <c r="E39" s="101"/>
      <c r="F39" s="102"/>
      <c r="G39" s="102"/>
      <c r="H39" s="103"/>
      <c r="I39" s="102"/>
      <c r="J39" s="156"/>
      <c r="K39" s="156"/>
      <c r="L39" s="156"/>
      <c r="M39" s="156"/>
      <c r="N39" s="166"/>
      <c r="O39" s="113"/>
      <c r="P39" s="113"/>
      <c r="Q39" s="112"/>
      <c r="R39" s="112"/>
      <c r="S39" s="112"/>
      <c r="T39" s="112"/>
      <c r="U39" s="112"/>
      <c r="V39" s="112"/>
      <c r="W39" s="112"/>
      <c r="X39" s="112"/>
      <c r="Y39" s="112"/>
      <c r="Z39" s="112"/>
      <c r="AA39" s="112"/>
      <c r="AB39" s="112"/>
      <c r="AC39" s="112"/>
      <c r="AD39" s="112"/>
      <c r="AE39" s="112"/>
      <c r="AF39" s="112"/>
      <c r="AG39" s="112"/>
      <c r="AH39" s="112"/>
      <c r="AI39" s="112"/>
    </row>
    <row r="40" spans="2:36" s="1" customFormat="1" ht="12" customHeight="1">
      <c r="B40" s="165"/>
      <c r="C40" s="104"/>
      <c r="D40" s="100"/>
      <c r="E40" s="101"/>
      <c r="F40" s="103"/>
      <c r="G40" s="103"/>
      <c r="H40" s="103"/>
      <c r="I40" s="103"/>
      <c r="J40" s="156"/>
      <c r="K40" s="156"/>
      <c r="L40" s="156"/>
      <c r="M40" s="156"/>
      <c r="N40" s="166"/>
      <c r="O40" s="113"/>
      <c r="P40" s="113"/>
      <c r="Q40" s="112"/>
      <c r="R40" s="112"/>
      <c r="S40" s="112"/>
      <c r="T40" s="112"/>
      <c r="U40" s="112"/>
      <c r="V40" s="112"/>
      <c r="W40" s="112"/>
      <c r="X40" s="112"/>
      <c r="Y40" s="112"/>
      <c r="Z40" s="112"/>
      <c r="AA40" s="112"/>
      <c r="AB40" s="112"/>
      <c r="AC40" s="112"/>
      <c r="AD40" s="112"/>
      <c r="AE40" s="112"/>
      <c r="AF40" s="112"/>
      <c r="AG40" s="112"/>
      <c r="AH40" s="112"/>
      <c r="AI40" s="112"/>
    </row>
    <row r="41" spans="2:36" s="1" customFormat="1" ht="12" customHeight="1">
      <c r="B41" s="165"/>
      <c r="C41" s="101"/>
      <c r="D41" s="104"/>
      <c r="E41" s="101"/>
      <c r="F41" s="105"/>
      <c r="G41" s="103"/>
      <c r="H41" s="105"/>
      <c r="I41" s="103"/>
      <c r="J41" s="156"/>
      <c r="K41" s="156"/>
      <c r="L41" s="156"/>
      <c r="M41" s="156"/>
      <c r="N41" s="166"/>
      <c r="O41" s="113"/>
      <c r="P41" s="113"/>
      <c r="Q41" s="112"/>
      <c r="R41" s="112"/>
      <c r="S41" s="112"/>
      <c r="T41" s="112"/>
      <c r="U41" s="112"/>
      <c r="V41" s="112"/>
      <c r="W41" s="112"/>
      <c r="X41" s="112"/>
      <c r="Y41" s="112"/>
      <c r="Z41" s="112"/>
      <c r="AA41" s="112"/>
      <c r="AB41" s="112"/>
      <c r="AC41" s="112"/>
      <c r="AD41" s="112"/>
      <c r="AE41" s="112"/>
      <c r="AF41" s="112"/>
      <c r="AG41" s="112"/>
      <c r="AH41" s="112"/>
      <c r="AI41" s="112"/>
    </row>
    <row r="42" spans="2:36" s="1" customFormat="1" ht="12" customHeight="1">
      <c r="B42" s="165"/>
      <c r="C42" s="101"/>
      <c r="D42" s="104"/>
      <c r="E42" s="101"/>
      <c r="F42" s="103"/>
      <c r="G42" s="105"/>
      <c r="H42" s="105"/>
      <c r="I42" s="105"/>
      <c r="J42" s="156"/>
      <c r="K42" s="156"/>
      <c r="L42" s="156"/>
      <c r="M42" s="156"/>
      <c r="N42" s="166"/>
      <c r="O42" s="113"/>
      <c r="P42" s="113"/>
      <c r="Q42" s="112"/>
      <c r="R42" s="112"/>
      <c r="S42" s="112"/>
      <c r="T42" s="112"/>
      <c r="U42" s="112"/>
      <c r="V42" s="112"/>
      <c r="W42" s="112"/>
      <c r="X42" s="112"/>
      <c r="Y42" s="112"/>
      <c r="Z42" s="112"/>
      <c r="AA42" s="112"/>
      <c r="AB42" s="112"/>
      <c r="AC42" s="112"/>
      <c r="AD42" s="112"/>
      <c r="AE42" s="112"/>
      <c r="AF42" s="112"/>
      <c r="AG42" s="112"/>
      <c r="AH42" s="112"/>
      <c r="AI42" s="112"/>
    </row>
    <row r="43" spans="2:36" s="1" customFormat="1" ht="12" customHeight="1">
      <c r="B43" s="165"/>
      <c r="C43" s="101"/>
      <c r="D43" s="100"/>
      <c r="E43" s="101"/>
      <c r="F43" s="105"/>
      <c r="G43" s="103"/>
      <c r="H43" s="103"/>
      <c r="I43" s="105"/>
      <c r="J43" s="156"/>
      <c r="K43" s="156"/>
      <c r="L43" s="156"/>
      <c r="M43" s="156"/>
      <c r="N43" s="166"/>
      <c r="O43" s="113"/>
      <c r="P43" s="113"/>
      <c r="Q43" s="112"/>
      <c r="R43" s="112"/>
      <c r="S43" s="112"/>
      <c r="T43" s="112"/>
      <c r="U43" s="112"/>
      <c r="V43" s="112"/>
      <c r="W43" s="112"/>
      <c r="X43" s="112"/>
      <c r="Y43" s="112"/>
      <c r="Z43" s="112"/>
      <c r="AA43" s="112"/>
      <c r="AB43" s="112"/>
      <c r="AC43" s="112"/>
      <c r="AD43" s="112"/>
      <c r="AE43" s="112"/>
      <c r="AF43" s="112"/>
      <c r="AG43" s="112"/>
      <c r="AH43" s="112"/>
      <c r="AI43" s="112"/>
    </row>
    <row r="44" spans="2:36" s="1" customFormat="1" ht="12" customHeight="1">
      <c r="B44" s="165"/>
      <c r="C44" s="101"/>
      <c r="D44" s="104"/>
      <c r="E44" s="101"/>
      <c r="F44" s="103"/>
      <c r="G44" s="103"/>
      <c r="H44" s="103"/>
      <c r="I44" s="103"/>
      <c r="J44" s="156"/>
      <c r="K44" s="156"/>
      <c r="L44" s="156"/>
      <c r="M44" s="156"/>
      <c r="N44" s="166"/>
      <c r="O44" s="113"/>
      <c r="P44" s="113"/>
      <c r="Q44" s="112"/>
      <c r="R44" s="112"/>
      <c r="S44" s="112"/>
      <c r="T44" s="112"/>
      <c r="U44" s="112"/>
      <c r="V44" s="112"/>
      <c r="W44" s="112"/>
      <c r="X44" s="112"/>
      <c r="Y44" s="112"/>
      <c r="Z44" s="112"/>
      <c r="AA44" s="112"/>
      <c r="AB44" s="112"/>
      <c r="AC44" s="112"/>
      <c r="AD44" s="112"/>
      <c r="AE44" s="112"/>
      <c r="AF44" s="112"/>
      <c r="AG44" s="112"/>
      <c r="AH44" s="112"/>
      <c r="AI44" s="112"/>
    </row>
    <row r="45" spans="2:36" s="1" customFormat="1" ht="12" customHeight="1">
      <c r="B45" s="165"/>
      <c r="C45" s="101"/>
      <c r="D45" s="104"/>
      <c r="E45" s="101"/>
      <c r="F45" s="103"/>
      <c r="G45" s="102"/>
      <c r="H45" s="102"/>
      <c r="I45" s="103"/>
      <c r="J45" s="156"/>
      <c r="K45" s="156"/>
      <c r="L45" s="156"/>
      <c r="M45" s="156"/>
      <c r="N45" s="166"/>
      <c r="O45" s="113"/>
      <c r="P45" s="113"/>
      <c r="Q45" s="112"/>
      <c r="R45" s="112"/>
      <c r="S45" s="112"/>
      <c r="T45" s="112"/>
      <c r="U45" s="112"/>
      <c r="V45" s="112"/>
      <c r="W45" s="112"/>
      <c r="X45" s="112"/>
      <c r="Y45" s="112"/>
      <c r="Z45" s="112"/>
      <c r="AA45" s="112"/>
      <c r="AB45" s="112"/>
      <c r="AC45" s="112"/>
      <c r="AD45" s="112"/>
      <c r="AE45" s="112"/>
      <c r="AF45" s="112"/>
      <c r="AG45" s="112"/>
      <c r="AH45" s="112"/>
      <c r="AI45" s="112"/>
      <c r="AJ45" s="112"/>
    </row>
    <row r="46" spans="2:36" ht="12" customHeight="1">
      <c r="B46" s="163"/>
      <c r="C46" s="101"/>
      <c r="D46" s="104"/>
      <c r="E46" s="101"/>
      <c r="F46" s="102"/>
      <c r="G46" s="103"/>
      <c r="H46" s="102"/>
      <c r="I46" s="102"/>
      <c r="J46" s="156"/>
      <c r="K46" s="156"/>
      <c r="L46" s="156"/>
      <c r="M46" s="156"/>
      <c r="N46" s="166"/>
      <c r="O46" s="113"/>
      <c r="P46" s="113"/>
      <c r="Q46" s="112"/>
      <c r="R46" s="112"/>
      <c r="S46" s="112"/>
      <c r="T46" s="112"/>
      <c r="U46" s="112"/>
      <c r="V46" s="112"/>
      <c r="W46" s="112"/>
      <c r="X46" s="112"/>
      <c r="Y46" s="112"/>
      <c r="Z46" s="112"/>
      <c r="AA46" s="112"/>
      <c r="AB46" s="112"/>
      <c r="AC46" s="112"/>
      <c r="AD46" s="112"/>
      <c r="AE46" s="112"/>
      <c r="AF46" s="112"/>
      <c r="AG46" s="112"/>
      <c r="AH46" s="112"/>
      <c r="AI46" s="112"/>
      <c r="AJ46" s="112"/>
    </row>
    <row r="47" spans="2:36" ht="12" customHeight="1">
      <c r="B47" s="163"/>
      <c r="C47" s="101"/>
      <c r="D47" s="100"/>
      <c r="E47" s="101"/>
      <c r="F47" s="102"/>
      <c r="G47" s="102"/>
      <c r="H47" s="103"/>
      <c r="I47" s="102"/>
      <c r="J47" s="156"/>
      <c r="K47" s="156"/>
      <c r="L47" s="156"/>
      <c r="M47" s="156"/>
      <c r="N47" s="166"/>
      <c r="O47" s="113"/>
      <c r="P47" s="113"/>
      <c r="Q47" s="112"/>
      <c r="R47" s="112"/>
      <c r="S47" s="112"/>
      <c r="T47" s="112"/>
      <c r="U47" s="112"/>
      <c r="V47" s="112"/>
      <c r="W47" s="112"/>
      <c r="X47" s="112"/>
      <c r="Y47" s="112"/>
      <c r="Z47" s="112"/>
      <c r="AA47" s="112"/>
      <c r="AB47" s="112"/>
      <c r="AC47" s="112"/>
      <c r="AD47" s="112"/>
      <c r="AE47" s="112"/>
      <c r="AF47" s="112"/>
      <c r="AG47" s="112"/>
      <c r="AH47" s="112"/>
      <c r="AI47" s="112"/>
      <c r="AJ47" s="112"/>
    </row>
    <row r="48" spans="2:36" ht="12" customHeight="1">
      <c r="B48" s="163"/>
      <c r="C48" s="101"/>
      <c r="D48" s="100"/>
      <c r="E48" s="101"/>
      <c r="F48" s="102"/>
      <c r="G48" s="102"/>
      <c r="H48" s="103"/>
      <c r="I48" s="103"/>
      <c r="J48" s="156"/>
      <c r="K48" s="156"/>
      <c r="L48" s="156"/>
      <c r="M48" s="156"/>
      <c r="N48" s="170"/>
      <c r="O48" s="113"/>
      <c r="P48" s="113"/>
      <c r="Q48" s="112"/>
      <c r="Z48" s="112"/>
      <c r="AA48" s="112"/>
      <c r="AB48" s="112"/>
      <c r="AC48" s="112"/>
      <c r="AD48" s="112"/>
      <c r="AE48" s="112"/>
      <c r="AF48" s="112"/>
      <c r="AG48" s="112"/>
      <c r="AH48" s="112"/>
      <c r="AI48" s="112"/>
      <c r="AJ48" s="112"/>
    </row>
    <row r="49" spans="2:36" ht="12" customHeight="1">
      <c r="B49" s="163"/>
      <c r="C49" s="101"/>
      <c r="D49" s="100"/>
      <c r="E49" s="101"/>
      <c r="F49" s="102"/>
      <c r="G49" s="102"/>
      <c r="H49" s="103"/>
      <c r="I49" s="103"/>
      <c r="J49" s="156"/>
      <c r="K49" s="156"/>
      <c r="L49" s="156"/>
      <c r="M49" s="110"/>
      <c r="N49" s="170"/>
      <c r="O49" s="113"/>
      <c r="P49" s="113"/>
      <c r="Q49" s="112"/>
      <c r="R49" s="112"/>
      <c r="S49" s="112"/>
      <c r="T49" s="112"/>
      <c r="U49" s="112"/>
      <c r="V49" s="112"/>
      <c r="W49" s="112"/>
      <c r="X49" s="112"/>
      <c r="Y49" s="112"/>
      <c r="Z49" s="112"/>
      <c r="AA49" s="112"/>
      <c r="AB49" s="112"/>
      <c r="AC49" s="112"/>
      <c r="AD49" s="112"/>
      <c r="AE49" s="112"/>
      <c r="AF49" s="112"/>
      <c r="AG49" s="112"/>
      <c r="AH49" s="112"/>
      <c r="AI49" s="112"/>
      <c r="AJ49" s="112"/>
    </row>
    <row r="50" spans="2:36" ht="12" customHeight="1">
      <c r="B50" s="163"/>
      <c r="C50" s="101"/>
      <c r="D50" s="100"/>
      <c r="E50" s="101"/>
      <c r="F50" s="102"/>
      <c r="G50" s="102"/>
      <c r="H50" s="103"/>
      <c r="I50" s="103"/>
      <c r="J50" s="110"/>
      <c r="K50" s="110"/>
      <c r="L50" s="110"/>
      <c r="M50" s="110"/>
      <c r="N50" s="170"/>
      <c r="O50" s="113"/>
      <c r="P50" s="113"/>
      <c r="Q50" s="112"/>
      <c r="R50" s="112"/>
      <c r="S50" s="112"/>
      <c r="T50" s="112"/>
      <c r="U50" s="112"/>
      <c r="V50" s="112"/>
      <c r="W50" s="112"/>
      <c r="X50" s="112"/>
      <c r="Y50" s="112"/>
      <c r="Z50" s="112"/>
      <c r="AA50" s="112"/>
      <c r="AB50" s="112"/>
      <c r="AC50" s="112"/>
      <c r="AD50" s="112"/>
      <c r="AE50" s="112"/>
      <c r="AF50" s="112"/>
      <c r="AG50" s="112"/>
      <c r="AH50" s="112"/>
      <c r="AI50" s="112"/>
      <c r="AJ50" s="112"/>
    </row>
    <row r="51" spans="2:36" ht="12" customHeight="1">
      <c r="B51" s="163"/>
      <c r="C51" s="101"/>
      <c r="D51" s="100"/>
      <c r="E51" s="101"/>
      <c r="F51" s="102"/>
      <c r="G51" s="102"/>
      <c r="H51" s="103"/>
      <c r="I51" s="103"/>
      <c r="J51" s="110"/>
      <c r="K51" s="110"/>
      <c r="L51" s="110"/>
      <c r="M51" s="110"/>
      <c r="N51" s="170"/>
      <c r="Q51" s="112"/>
      <c r="R51" s="112"/>
      <c r="S51" s="112"/>
      <c r="T51" s="112"/>
      <c r="U51" s="112"/>
      <c r="V51" s="112"/>
      <c r="W51" s="112"/>
      <c r="X51" s="112"/>
      <c r="Y51" s="112"/>
      <c r="Z51" s="112"/>
      <c r="AA51" s="112"/>
      <c r="AB51" s="112"/>
      <c r="AC51" s="112"/>
      <c r="AD51" s="112"/>
      <c r="AE51" s="112"/>
      <c r="AF51" s="112"/>
      <c r="AG51" s="112"/>
      <c r="AH51" s="112"/>
      <c r="AI51" s="112"/>
      <c r="AJ51" s="112"/>
    </row>
    <row r="52" spans="2:36" ht="12" customHeight="1">
      <c r="B52" s="163"/>
      <c r="C52" s="101"/>
      <c r="D52" s="100"/>
      <c r="E52" s="101"/>
      <c r="F52" s="102"/>
      <c r="G52" s="102"/>
      <c r="H52" s="103"/>
      <c r="I52" s="103"/>
      <c r="J52" s="110"/>
      <c r="K52" s="110"/>
      <c r="L52" s="110"/>
      <c r="M52" s="110"/>
      <c r="N52" s="170"/>
      <c r="Q52" s="112"/>
      <c r="R52" s="132"/>
      <c r="S52" s="112"/>
      <c r="T52" s="112"/>
      <c r="U52" s="112"/>
      <c r="V52" s="112"/>
      <c r="W52" s="132"/>
      <c r="X52" s="112"/>
      <c r="Y52" s="112"/>
      <c r="Z52" s="112"/>
      <c r="AA52" s="112"/>
      <c r="AB52" s="112"/>
      <c r="AC52" s="112"/>
      <c r="AD52" s="112"/>
      <c r="AE52" s="112"/>
      <c r="AF52" s="112"/>
      <c r="AG52" s="112"/>
      <c r="AH52" s="112"/>
      <c r="AI52" s="112"/>
      <c r="AJ52" s="112"/>
    </row>
    <row r="53" spans="2:36" ht="12" customHeight="1">
      <c r="B53" s="163"/>
      <c r="C53" s="101"/>
      <c r="D53" s="100"/>
      <c r="E53" s="101"/>
      <c r="F53" s="102"/>
      <c r="G53" s="102"/>
      <c r="H53" s="103"/>
      <c r="I53" s="103"/>
      <c r="J53" s="110"/>
      <c r="K53" s="110"/>
      <c r="L53" s="110"/>
      <c r="M53" s="110"/>
      <c r="N53" s="170"/>
      <c r="Q53" s="112"/>
      <c r="Z53" s="112"/>
      <c r="AA53" s="112"/>
      <c r="AB53" s="107"/>
      <c r="AC53" s="107"/>
      <c r="AD53" s="107"/>
    </row>
    <row r="54" spans="2:36" ht="12" customHeight="1">
      <c r="B54" s="163"/>
      <c r="C54" s="142"/>
      <c r="D54" s="142"/>
      <c r="E54" s="142"/>
      <c r="F54" s="142"/>
      <c r="G54" s="142"/>
      <c r="H54" s="142"/>
      <c r="I54" s="103"/>
      <c r="J54" s="110"/>
      <c r="K54" s="110"/>
      <c r="L54" s="110"/>
      <c r="M54" s="110"/>
      <c r="N54" s="170"/>
      <c r="Q54" s="112"/>
      <c r="R54" s="112"/>
      <c r="S54" s="112"/>
      <c r="T54" s="112"/>
      <c r="U54" s="112"/>
      <c r="V54" s="112"/>
      <c r="W54" s="112"/>
      <c r="X54" s="112"/>
      <c r="Y54" s="112"/>
      <c r="Z54" s="112"/>
      <c r="AA54" s="112"/>
      <c r="AB54" s="112"/>
      <c r="AC54" s="112"/>
      <c r="AD54" s="112"/>
      <c r="AE54" s="112"/>
      <c r="AF54" s="112"/>
      <c r="AG54" s="112"/>
      <c r="AH54" s="112"/>
      <c r="AI54" s="112"/>
      <c r="AJ54" s="112"/>
    </row>
    <row r="55" spans="2:36" ht="12" customHeight="1">
      <c r="B55" s="163"/>
      <c r="C55" s="142"/>
      <c r="D55" s="142"/>
      <c r="E55" s="142"/>
      <c r="F55" s="142"/>
      <c r="G55" s="142"/>
      <c r="H55" s="142"/>
      <c r="I55" s="142"/>
      <c r="J55" s="142"/>
      <c r="K55" s="142"/>
      <c r="L55" s="110"/>
      <c r="M55" s="110"/>
      <c r="N55" s="170"/>
      <c r="Q55" s="112"/>
      <c r="R55" s="112"/>
      <c r="S55" s="112"/>
      <c r="T55" s="112"/>
      <c r="U55" s="112"/>
      <c r="V55" s="112"/>
      <c r="W55" s="112"/>
      <c r="X55" s="112"/>
      <c r="Y55" s="112"/>
      <c r="Z55" s="112"/>
      <c r="AA55" s="112"/>
      <c r="AB55" s="112"/>
      <c r="AC55" s="112"/>
      <c r="AD55" s="112"/>
      <c r="AE55" s="112"/>
      <c r="AF55" s="112"/>
      <c r="AG55" s="112"/>
      <c r="AH55" s="112"/>
      <c r="AI55" s="112"/>
      <c r="AJ55" s="112"/>
    </row>
    <row r="56" spans="2:36" ht="12" customHeight="1">
      <c r="B56" s="163"/>
      <c r="C56" s="104"/>
      <c r="D56" s="100"/>
      <c r="E56" s="101"/>
      <c r="F56" s="103"/>
      <c r="G56" s="103"/>
      <c r="H56" s="103"/>
      <c r="I56" s="142"/>
      <c r="J56" s="142"/>
      <c r="K56" s="142"/>
      <c r="L56" s="110"/>
      <c r="M56" s="110"/>
      <c r="N56" s="170"/>
      <c r="R56" s="112"/>
      <c r="S56" s="112"/>
      <c r="T56" s="112"/>
      <c r="U56" s="112"/>
      <c r="V56" s="112"/>
      <c r="W56" s="112"/>
      <c r="X56" s="112"/>
      <c r="Y56" s="112"/>
      <c r="Z56" s="112"/>
      <c r="AA56" s="112"/>
      <c r="AB56" s="112"/>
      <c r="AC56" s="112"/>
      <c r="AD56" s="112"/>
      <c r="AE56" s="112"/>
      <c r="AF56" s="112"/>
      <c r="AG56" s="112"/>
      <c r="AH56" s="112"/>
      <c r="AI56" s="112"/>
      <c r="AJ56" s="112"/>
    </row>
    <row r="57" spans="2:36" ht="12" customHeight="1">
      <c r="B57" s="163"/>
      <c r="C57" s="101"/>
      <c r="D57" s="104"/>
      <c r="E57" s="101"/>
      <c r="F57" s="103"/>
      <c r="G57" s="103"/>
      <c r="H57" s="103"/>
      <c r="I57" s="103"/>
      <c r="J57" s="110"/>
      <c r="K57" s="110"/>
      <c r="L57" s="110"/>
      <c r="M57" s="110"/>
      <c r="N57" s="170"/>
      <c r="R57" s="112"/>
      <c r="S57" s="112"/>
      <c r="T57" s="112"/>
      <c r="U57" s="112"/>
      <c r="V57" s="112"/>
      <c r="W57" s="112"/>
      <c r="X57" s="112"/>
      <c r="Y57" s="112"/>
      <c r="Z57" s="112"/>
      <c r="AA57" s="112"/>
      <c r="AB57" s="112"/>
      <c r="AC57" s="112"/>
      <c r="AD57" s="112"/>
      <c r="AE57" s="112"/>
      <c r="AF57" s="112"/>
      <c r="AG57" s="112"/>
      <c r="AH57" s="112"/>
      <c r="AI57" s="112"/>
      <c r="AJ57" s="112"/>
    </row>
    <row r="58" spans="2:36" ht="12" customHeight="1">
      <c r="B58" s="163"/>
      <c r="C58" s="101"/>
      <c r="D58" s="104"/>
      <c r="E58" s="101"/>
      <c r="F58" s="103"/>
      <c r="G58" s="103"/>
      <c r="H58" s="103"/>
      <c r="I58" s="103"/>
      <c r="J58" s="110"/>
      <c r="K58" s="110"/>
      <c r="L58" s="110"/>
      <c r="M58" s="171"/>
      <c r="N58" s="170"/>
    </row>
    <row r="59" spans="2:36" ht="12" customHeight="1">
      <c r="B59" s="163"/>
      <c r="C59" s="101"/>
      <c r="D59" s="100"/>
      <c r="E59" s="101"/>
      <c r="F59" s="103"/>
      <c r="G59" s="103"/>
      <c r="H59" s="103"/>
      <c r="I59" s="103"/>
      <c r="J59" s="110"/>
      <c r="K59" s="110"/>
      <c r="L59" s="171"/>
      <c r="M59" s="171"/>
      <c r="N59" s="170"/>
    </row>
    <row r="60" spans="2:36" ht="12" customHeight="1">
      <c r="B60" s="163"/>
      <c r="C60" s="101"/>
      <c r="D60" s="104"/>
      <c r="E60" s="159" t="s">
        <v>106</v>
      </c>
      <c r="F60" s="103"/>
      <c r="G60" s="102"/>
      <c r="H60" s="102"/>
      <c r="I60" s="103"/>
      <c r="J60" s="110"/>
      <c r="K60" s="110"/>
      <c r="L60" s="171"/>
      <c r="M60" s="171"/>
      <c r="N60" s="170"/>
    </row>
    <row r="61" spans="2:36" ht="12" customHeight="1">
      <c r="B61" s="172"/>
      <c r="C61" s="173"/>
      <c r="D61" s="174"/>
      <c r="E61" s="180" t="s">
        <v>165</v>
      </c>
      <c r="F61" s="175"/>
      <c r="G61" s="176"/>
      <c r="H61" s="175"/>
      <c r="I61" s="175"/>
      <c r="J61" s="177"/>
      <c r="K61" s="177"/>
      <c r="L61" s="178"/>
      <c r="M61" s="178"/>
      <c r="N61" s="179"/>
    </row>
    <row r="62" spans="2:36" ht="12" customHeight="1">
      <c r="C62" s="104"/>
      <c r="D62" s="100"/>
      <c r="E62" s="101"/>
      <c r="F62" s="103"/>
      <c r="G62" s="103"/>
      <c r="H62" s="103"/>
      <c r="M62" s="113"/>
      <c r="N62" s="112"/>
    </row>
    <row r="63" spans="2:36" ht="12" customHeight="1">
      <c r="C63" s="109"/>
      <c r="D63" s="104"/>
      <c r="E63" s="101"/>
      <c r="F63" s="103"/>
      <c r="G63" s="103"/>
      <c r="H63" s="103"/>
      <c r="I63" s="103"/>
      <c r="J63" s="110"/>
      <c r="K63" s="110"/>
      <c r="L63" s="113"/>
      <c r="M63" s="113"/>
      <c r="N63" s="112"/>
    </row>
    <row r="64" spans="2:36" ht="12" customHeight="1">
      <c r="C64" s="109"/>
      <c r="D64" s="104"/>
      <c r="E64" s="101"/>
      <c r="F64" s="106"/>
      <c r="G64" s="105"/>
      <c r="H64" s="105"/>
      <c r="I64" s="103"/>
      <c r="J64" s="110"/>
      <c r="K64" s="110"/>
      <c r="L64" s="113"/>
      <c r="M64" s="113"/>
      <c r="N64" s="112"/>
    </row>
    <row r="65" spans="3:14" ht="12" customHeight="1">
      <c r="C65" s="109"/>
      <c r="D65" s="104"/>
      <c r="E65" s="101"/>
      <c r="F65" s="103"/>
      <c r="G65" s="103"/>
      <c r="H65" s="103"/>
      <c r="I65" s="106"/>
      <c r="J65" s="110"/>
      <c r="K65" s="110"/>
      <c r="L65" s="113"/>
      <c r="M65" s="113"/>
      <c r="N65" s="112"/>
    </row>
    <row r="66" spans="3:14" ht="12" customHeight="1">
      <c r="C66" s="142"/>
      <c r="D66" s="100"/>
      <c r="E66" s="101"/>
      <c r="F66" s="103"/>
      <c r="G66" s="103"/>
      <c r="H66" s="103"/>
      <c r="I66" s="103"/>
      <c r="J66" s="110"/>
      <c r="K66" s="110"/>
      <c r="L66" s="113"/>
      <c r="M66" s="113"/>
    </row>
    <row r="67" spans="3:14" ht="12" customHeight="1">
      <c r="C67" s="142"/>
      <c r="D67" s="104"/>
      <c r="E67" s="101"/>
      <c r="F67" s="103"/>
      <c r="G67" s="102"/>
      <c r="H67" s="102"/>
      <c r="I67" s="103"/>
      <c r="J67" s="110"/>
      <c r="K67" s="110"/>
      <c r="L67" s="113"/>
      <c r="M67" s="113"/>
    </row>
    <row r="68" spans="3:14" ht="12" customHeight="1">
      <c r="C68" s="142"/>
      <c r="D68" s="104"/>
      <c r="E68" s="101"/>
      <c r="F68" s="102"/>
      <c r="G68" s="103"/>
      <c r="H68" s="102"/>
      <c r="I68" s="102"/>
      <c r="J68" s="110"/>
      <c r="K68" s="110"/>
      <c r="L68" s="113"/>
      <c r="M68" s="113"/>
    </row>
    <row r="69" spans="3:14" ht="12" customHeight="1">
      <c r="C69" s="112"/>
      <c r="D69" s="112"/>
      <c r="E69" s="112"/>
      <c r="F69" s="112"/>
      <c r="G69" s="112"/>
      <c r="H69" s="112"/>
      <c r="I69" s="102"/>
      <c r="J69" s="110"/>
      <c r="K69" s="110"/>
      <c r="L69" s="113"/>
      <c r="M69" s="113"/>
    </row>
    <row r="70" spans="3:14" ht="12" customHeight="1">
      <c r="C70" s="112"/>
      <c r="D70" s="112"/>
      <c r="E70" s="112"/>
      <c r="F70" s="112"/>
      <c r="G70" s="112"/>
      <c r="H70" s="112"/>
      <c r="I70" s="112"/>
      <c r="J70" s="112"/>
      <c r="K70" s="112"/>
      <c r="L70" s="113"/>
      <c r="M70" s="113"/>
    </row>
    <row r="71" spans="3:14" ht="12" customHeight="1">
      <c r="C71" s="112"/>
      <c r="D71" s="112"/>
      <c r="E71" s="112"/>
      <c r="F71" s="112"/>
      <c r="G71" s="112"/>
      <c r="H71" s="112"/>
      <c r="I71" s="112"/>
      <c r="J71" s="112"/>
      <c r="K71" s="112"/>
      <c r="L71" s="113"/>
      <c r="M71" s="113"/>
    </row>
    <row r="72" spans="3:14" ht="12" customHeight="1">
      <c r="C72" s="112"/>
      <c r="D72" s="112"/>
      <c r="E72" s="112"/>
      <c r="F72" s="112"/>
      <c r="G72" s="112"/>
      <c r="H72" s="112"/>
      <c r="I72" s="112"/>
      <c r="J72" s="112"/>
      <c r="K72" s="112"/>
      <c r="L72" s="113"/>
      <c r="M72" s="114"/>
    </row>
    <row r="73" spans="3:14" ht="12" customHeight="1">
      <c r="C73" s="112"/>
      <c r="D73" s="112"/>
      <c r="E73" s="112"/>
      <c r="F73" s="112"/>
      <c r="G73" s="112"/>
      <c r="H73" s="112"/>
      <c r="I73" s="112"/>
      <c r="J73" s="112"/>
      <c r="K73" s="112"/>
      <c r="L73" s="114"/>
    </row>
    <row r="74" spans="3:14" ht="12" customHeight="1">
      <c r="C74" s="112"/>
      <c r="D74" s="112"/>
      <c r="E74" s="112"/>
      <c r="F74" s="112"/>
      <c r="G74" s="112"/>
      <c r="H74" s="112"/>
      <c r="I74" s="112"/>
      <c r="J74" s="112"/>
      <c r="K74" s="112"/>
    </row>
    <row r="75" spans="3:14" ht="12" customHeight="1">
      <c r="C75" s="112"/>
      <c r="D75" s="112"/>
      <c r="E75" s="112"/>
      <c r="F75" s="112"/>
      <c r="G75" s="112"/>
      <c r="H75" s="112"/>
      <c r="I75" s="112"/>
      <c r="J75" s="112"/>
      <c r="K75" s="112"/>
    </row>
    <row r="76" spans="3:14" ht="12" customHeight="1">
      <c r="C76" s="112"/>
      <c r="D76" s="112"/>
      <c r="E76" s="112"/>
      <c r="F76" s="112"/>
      <c r="G76" s="112"/>
      <c r="H76" s="112"/>
      <c r="I76" s="112"/>
      <c r="J76" s="112"/>
      <c r="K76" s="112"/>
      <c r="M76" s="114"/>
    </row>
    <row r="77" spans="3:14" ht="12" customHeight="1">
      <c r="C77" s="112"/>
      <c r="D77" s="112"/>
      <c r="E77" s="112"/>
      <c r="F77" s="112"/>
      <c r="G77" s="112"/>
      <c r="H77" s="112"/>
      <c r="I77" s="112"/>
      <c r="J77" s="112"/>
      <c r="K77" s="112"/>
      <c r="L77" s="114"/>
    </row>
    <row r="78" spans="3:14" ht="12" customHeight="1">
      <c r="C78" s="112"/>
      <c r="D78" s="112"/>
      <c r="E78" s="112"/>
      <c r="F78" s="112"/>
      <c r="G78" s="112"/>
      <c r="H78" s="112"/>
      <c r="I78" s="112"/>
      <c r="J78" s="112"/>
      <c r="K78" s="112"/>
      <c r="M78" s="114"/>
    </row>
    <row r="79" spans="3:14" ht="12" customHeight="1">
      <c r="C79" s="112"/>
      <c r="D79" s="112"/>
      <c r="E79" s="112"/>
      <c r="F79" s="112"/>
      <c r="G79" s="112"/>
      <c r="H79" s="112"/>
      <c r="I79" s="112"/>
      <c r="J79" s="112"/>
      <c r="K79" s="112"/>
      <c r="L79" s="114"/>
    </row>
    <row r="80" spans="3:14" ht="12" customHeight="1">
      <c r="C80" s="112"/>
      <c r="D80" s="112"/>
      <c r="E80" s="112"/>
      <c r="F80" s="112"/>
      <c r="G80" s="112"/>
      <c r="H80" s="112"/>
      <c r="I80" s="112"/>
      <c r="J80" s="112"/>
      <c r="K80" s="112"/>
      <c r="M80" s="114"/>
    </row>
    <row r="81" spans="3:13" ht="12" customHeight="1">
      <c r="C81" s="116"/>
      <c r="D81" s="117"/>
      <c r="E81" s="117"/>
      <c r="F81" s="117"/>
      <c r="G81" s="117"/>
      <c r="H81" s="117"/>
      <c r="I81" s="112"/>
      <c r="J81" s="112"/>
      <c r="K81" s="112"/>
      <c r="L81" s="114"/>
      <c r="M81" s="114"/>
    </row>
    <row r="82" spans="3:13" ht="12" customHeight="1">
      <c r="I82" s="117"/>
      <c r="J82" s="117"/>
      <c r="K82" s="117"/>
      <c r="L82" s="114"/>
      <c r="M82" s="114"/>
    </row>
    <row r="83" spans="3:13" ht="12" customHeight="1">
      <c r="C83" s="118"/>
      <c r="L83" s="114"/>
    </row>
    <row r="84" spans="3:13" ht="12" customHeight="1">
      <c r="M84" s="114"/>
    </row>
    <row r="85" spans="3:13" ht="12" customHeight="1">
      <c r="C85" s="116"/>
      <c r="D85" s="117"/>
      <c r="E85" s="117"/>
      <c r="F85" s="117"/>
      <c r="G85" s="117"/>
      <c r="H85" s="117"/>
      <c r="L85" s="114"/>
    </row>
    <row r="86" spans="3:13" ht="12" customHeight="1">
      <c r="I86" s="117"/>
      <c r="J86" s="117"/>
      <c r="K86" s="117"/>
      <c r="M86" s="114"/>
    </row>
    <row r="87" spans="3:13" ht="12" customHeight="1">
      <c r="C87" s="116"/>
      <c r="D87" s="117"/>
      <c r="E87" s="117"/>
      <c r="F87" s="117"/>
      <c r="G87" s="117"/>
      <c r="H87" s="117"/>
      <c r="L87" s="114"/>
    </row>
    <row r="88" spans="3:13" ht="12" customHeight="1">
      <c r="I88" s="117"/>
      <c r="J88" s="117"/>
      <c r="K88" s="117"/>
      <c r="M88" s="114"/>
    </row>
    <row r="89" spans="3:13" ht="12" customHeight="1">
      <c r="C89" s="116"/>
      <c r="D89" s="117"/>
      <c r="E89" s="117"/>
      <c r="F89" s="117"/>
      <c r="G89" s="117"/>
      <c r="H89" s="117"/>
      <c r="L89" s="114"/>
    </row>
    <row r="90" spans="3:13" ht="12" customHeight="1">
      <c r="C90" s="116"/>
      <c r="D90" s="117"/>
      <c r="E90" s="117"/>
      <c r="F90" s="117"/>
      <c r="G90" s="117"/>
      <c r="H90" s="117"/>
      <c r="I90" s="117"/>
      <c r="J90" s="117"/>
      <c r="K90" s="117"/>
      <c r="M90" s="114"/>
    </row>
    <row r="91" spans="3:13" ht="12" customHeight="1">
      <c r="C91" s="116"/>
      <c r="D91" s="117"/>
      <c r="E91" s="117"/>
      <c r="F91" s="117"/>
      <c r="G91" s="117"/>
      <c r="H91" s="117"/>
      <c r="I91" s="117"/>
      <c r="J91" s="117"/>
      <c r="K91" s="117"/>
      <c r="L91" s="114"/>
    </row>
    <row r="92" spans="3:13" ht="12" customHeight="1">
      <c r="I92" s="117"/>
      <c r="J92" s="117"/>
      <c r="K92" s="117"/>
    </row>
    <row r="93" spans="3:13" ht="12" customHeight="1">
      <c r="C93" s="116"/>
      <c r="D93" s="117"/>
      <c r="E93" s="117"/>
      <c r="F93" s="117"/>
      <c r="G93" s="117"/>
      <c r="H93" s="117"/>
    </row>
    <row r="94" spans="3:13" ht="12" customHeight="1">
      <c r="I94" s="117"/>
      <c r="J94" s="117"/>
      <c r="K94" s="117"/>
    </row>
    <row r="95" spans="3:13" ht="12" customHeight="1">
      <c r="C95" s="116"/>
      <c r="D95" s="117"/>
      <c r="E95" s="117"/>
      <c r="F95" s="117"/>
      <c r="G95" s="117"/>
      <c r="H95" s="117"/>
    </row>
    <row r="96" spans="3:13" ht="12" customHeight="1">
      <c r="I96" s="117"/>
      <c r="J96" s="117"/>
      <c r="K96" s="117"/>
    </row>
    <row r="97" spans="3:11" ht="12" customHeight="1">
      <c r="C97" s="116"/>
      <c r="D97" s="117"/>
      <c r="E97" s="117"/>
      <c r="F97" s="117"/>
      <c r="G97" s="117"/>
      <c r="H97" s="117"/>
    </row>
    <row r="98" spans="3:11" ht="12" customHeight="1">
      <c r="I98" s="117"/>
      <c r="J98" s="117"/>
      <c r="K98" s="117"/>
    </row>
    <row r="99" spans="3:11" ht="12" customHeight="1">
      <c r="C99" s="116"/>
      <c r="D99" s="117"/>
      <c r="E99" s="117"/>
      <c r="F99" s="117"/>
      <c r="G99" s="117"/>
      <c r="H99" s="117"/>
    </row>
    <row r="100" spans="3:11" ht="12" customHeight="1">
      <c r="I100" s="117"/>
      <c r="J100" s="117"/>
      <c r="K100" s="117"/>
    </row>
    <row r="101" spans="3:11" ht="12" customHeight="1"/>
    <row r="102" spans="3:11" ht="12" customHeight="1"/>
    <row r="103" spans="3:11" ht="12" customHeight="1"/>
    <row r="104" spans="3:11" ht="12" customHeight="1"/>
    <row r="105" spans="3:11" ht="12" customHeight="1"/>
    <row r="106" spans="3:11" ht="12" customHeight="1"/>
    <row r="107" spans="3:11" ht="12" customHeight="1"/>
    <row r="108" spans="3:11" ht="12" customHeight="1"/>
    <row r="109" spans="3:11" ht="12" customHeight="1"/>
    <row r="110" spans="3:11" ht="12" customHeight="1"/>
    <row r="111" spans="3:11" ht="12" customHeight="1"/>
    <row r="112" spans="3:11" ht="12" customHeight="1"/>
    <row r="113" ht="12" customHeight="1"/>
  </sheetData>
  <sheetProtection algorithmName="SHA-512" hashValue="rLzrtbnmleEpXgfTTtkcELFgWvJmN8YZACagYw5ih6BypKe4L082U5kDNZZ1COtb3BHDaAcH25GF8D5Jy3lgYw==" saltValue="s+igoFd67dI0rmzaqhNksA==" spinCount="100000" sheet="1" objects="1" scenarios="1" selectLockedCells="1"/>
  <mergeCells count="25">
    <mergeCell ref="U6:Y7"/>
    <mergeCell ref="E10:G10"/>
    <mergeCell ref="U9:Y10"/>
    <mergeCell ref="U12:Y13"/>
    <mergeCell ref="U15:Y15"/>
    <mergeCell ref="E9:G9"/>
    <mergeCell ref="U21:Y22"/>
    <mergeCell ref="U24:Y26"/>
    <mergeCell ref="C11:D12"/>
    <mergeCell ref="E11:E12"/>
    <mergeCell ref="E15:G15"/>
    <mergeCell ref="E16:G16"/>
    <mergeCell ref="E14:G14"/>
    <mergeCell ref="G11:G12"/>
    <mergeCell ref="E13:G13"/>
    <mergeCell ref="C1:M1"/>
    <mergeCell ref="C2:M2"/>
    <mergeCell ref="E6:G6"/>
    <mergeCell ref="E7:G7"/>
    <mergeCell ref="E8:G8"/>
    <mergeCell ref="C3:M3"/>
    <mergeCell ref="C5:D5"/>
    <mergeCell ref="C6:D6"/>
    <mergeCell ref="C7:D7"/>
    <mergeCell ref="E5:G5"/>
  </mergeCells>
  <dataValidations count="3">
    <dataValidation allowBlank="1" showInputMessage="1" showErrorMessage="1" error="Enter numbers only." sqref="J68"/>
    <dataValidation type="decimal" operator="greaterThanOrEqual" allowBlank="1" showErrorMessage="1" errorTitle="Invalid input" error="Input number in metres only, with no text" sqref="AE19:AE20 AE22:AE23">
      <formula1>0</formula1>
    </dataValidation>
    <dataValidation type="decimal" allowBlank="1" showInputMessage="1" showErrorMessage="1" error="Enter numbers only." sqref="J41:J45 J19:J25">
      <formula1>0</formula1>
      <formula2>10000</formula2>
    </dataValidation>
  </dataValidations>
  <printOptions horizontalCentered="1"/>
  <pageMargins left="0.5" right="0.5" top="0.5" bottom="0.5" header="0.5" footer="0.5"/>
  <pageSetup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4</xdr:col>
                    <xdr:colOff>533400</xdr:colOff>
                    <xdr:row>10</xdr:row>
                    <xdr:rowOff>85725</xdr:rowOff>
                  </from>
                  <to>
                    <xdr:col>5</xdr:col>
                    <xdr:colOff>266700</xdr:colOff>
                    <xdr:row>11</xdr:row>
                    <xdr:rowOff>114300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6</xdr:col>
                    <xdr:colOff>285750</xdr:colOff>
                    <xdr:row>10</xdr:row>
                    <xdr:rowOff>85725</xdr:rowOff>
                  </from>
                  <to>
                    <xdr:col>7</xdr:col>
                    <xdr:colOff>66675</xdr:colOff>
                    <xdr:row>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528"/>
  <sheetViews>
    <sheetView topLeftCell="I1" zoomScaleNormal="100" workbookViewId="0">
      <selection activeCell="R4" sqref="R4"/>
    </sheetView>
  </sheetViews>
  <sheetFormatPr defaultRowHeight="12.75"/>
  <cols>
    <col min="1" max="2" width="2.140625" style="6" customWidth="1"/>
    <col min="3" max="3" width="14.85546875" style="6" customWidth="1"/>
    <col min="4" max="4" width="12.42578125" style="6" customWidth="1"/>
    <col min="5" max="15" width="9.28515625" style="6" customWidth="1"/>
    <col min="16" max="16" width="7.140625" style="6" customWidth="1"/>
    <col min="17" max="17" width="34.28515625" style="6" customWidth="1"/>
    <col min="18" max="18" width="9.28515625" style="6" customWidth="1"/>
    <col min="19" max="20" width="9.28515625" style="18" customWidth="1"/>
    <col min="21" max="31" width="11.42578125" style="6" customWidth="1"/>
    <col min="32" max="16384" width="9.140625" style="6"/>
  </cols>
  <sheetData>
    <row r="1" spans="1:22" ht="12.75" customHeight="1">
      <c r="B1" s="7"/>
      <c r="C1" s="7"/>
      <c r="D1" s="7"/>
      <c r="E1" s="7"/>
      <c r="F1" s="7"/>
      <c r="H1" s="7"/>
      <c r="I1" s="7"/>
      <c r="J1" s="7"/>
      <c r="K1" s="7"/>
      <c r="L1" s="7"/>
      <c r="M1" s="7"/>
      <c r="N1" s="7"/>
      <c r="O1" s="7"/>
      <c r="Q1" s="7"/>
      <c r="R1" s="7"/>
      <c r="S1" s="75"/>
      <c r="T1" s="75"/>
    </row>
    <row r="2" spans="1:22" ht="12.75" customHeight="1">
      <c r="A2" s="8"/>
      <c r="B2" s="60"/>
      <c r="C2" s="45" t="s">
        <v>104</v>
      </c>
      <c r="D2" s="37"/>
      <c r="E2" s="37"/>
      <c r="F2" s="38"/>
      <c r="G2" s="12"/>
      <c r="H2" s="36" t="s">
        <v>104</v>
      </c>
      <c r="I2" s="37"/>
      <c r="J2" s="37"/>
      <c r="K2" s="37"/>
      <c r="L2" s="37"/>
      <c r="M2" s="37"/>
      <c r="N2" s="37"/>
      <c r="O2" s="38"/>
      <c r="P2" s="12"/>
      <c r="Q2" s="61" t="s">
        <v>105</v>
      </c>
      <c r="R2" s="62"/>
      <c r="S2" s="63"/>
      <c r="T2" s="92"/>
      <c r="U2" s="9"/>
    </row>
    <row r="3" spans="1:22" ht="12.75" customHeight="1">
      <c r="A3" s="8"/>
      <c r="B3" s="39"/>
      <c r="F3" s="42"/>
      <c r="G3" s="12"/>
      <c r="H3" s="48"/>
      <c r="I3" s="3"/>
      <c r="J3" s="138" t="s">
        <v>26</v>
      </c>
      <c r="K3" s="136" t="s">
        <v>27</v>
      </c>
      <c r="N3" s="134" t="s">
        <v>90</v>
      </c>
      <c r="O3" s="135"/>
      <c r="P3" s="12"/>
      <c r="Q3" s="64"/>
      <c r="R3" s="10"/>
      <c r="S3" s="65"/>
      <c r="T3" s="84"/>
      <c r="U3" s="9"/>
    </row>
    <row r="4" spans="1:22" ht="12.75" customHeight="1">
      <c r="A4" s="8"/>
      <c r="B4" s="46"/>
      <c r="C4" s="315" t="s">
        <v>101</v>
      </c>
      <c r="D4" s="316"/>
      <c r="F4" s="42"/>
      <c r="G4" s="12"/>
      <c r="H4" s="49"/>
      <c r="I4" s="137" t="s">
        <v>28</v>
      </c>
      <c r="J4" s="138">
        <f>'Calcs-1'!R4</f>
        <v>0</v>
      </c>
      <c r="K4" s="136">
        <f>'Calcs-1'!R5</f>
        <v>0</v>
      </c>
      <c r="L4" s="21"/>
      <c r="N4" s="134" t="s">
        <v>26</v>
      </c>
      <c r="O4" s="40" t="s">
        <v>27</v>
      </c>
      <c r="P4" s="12"/>
      <c r="Q4" s="66" t="s">
        <v>86</v>
      </c>
      <c r="R4" s="24">
        <v>0</v>
      </c>
      <c r="S4" s="76"/>
      <c r="T4" s="85"/>
      <c r="U4" s="9"/>
    </row>
    <row r="5" spans="1:22" ht="12.75" customHeight="1">
      <c r="A5" s="8"/>
      <c r="B5" s="46"/>
      <c r="C5" s="4" t="s">
        <v>12</v>
      </c>
      <c r="D5" s="35">
        <f>JL_1</f>
        <v>0</v>
      </c>
      <c r="F5" s="42"/>
      <c r="G5" s="12"/>
      <c r="H5" s="49"/>
      <c r="I5" s="137" t="s">
        <v>29</v>
      </c>
      <c r="J5" s="138">
        <f>IF(AND(LL&gt;0,LP&gt;0,HHW&gt;0,HTW&gt;0),IF(LP&gt;0,LPextBase-extadj,0),0)</f>
        <v>0</v>
      </c>
      <c r="K5" s="136">
        <f>IF(AND(LL&gt;0,LP&gt;0,HHW&gt;0,HTW&gt;0),IF(LP&gt;0,CH,0),0)</f>
        <v>0</v>
      </c>
      <c r="L5" s="21"/>
      <c r="M5" s="134" t="s">
        <v>59</v>
      </c>
      <c r="N5" s="136">
        <f>MAX(J4:J42)</f>
        <v>0</v>
      </c>
      <c r="O5" s="41">
        <f>MAX(K4:K42)</f>
        <v>0</v>
      </c>
      <c r="P5" s="12"/>
      <c r="Q5" s="66" t="s">
        <v>87</v>
      </c>
      <c r="R5" s="24">
        <v>0</v>
      </c>
      <c r="S5" s="76"/>
      <c r="T5" s="85"/>
      <c r="U5" s="9"/>
    </row>
    <row r="6" spans="1:22" ht="12.75" customHeight="1">
      <c r="A6" s="8"/>
      <c r="B6" s="46"/>
      <c r="C6" s="4" t="s">
        <v>15</v>
      </c>
      <c r="D6" s="35">
        <f>LPG_1</f>
        <v>0</v>
      </c>
      <c r="F6" s="42"/>
      <c r="G6" s="12"/>
      <c r="H6" s="49"/>
      <c r="I6" s="137" t="s">
        <v>31</v>
      </c>
      <c r="J6" s="138">
        <f>IF(AND(LL&gt;0,LP&gt;0,HHW&gt;0,HTW&gt;0),LL*COS(FA_r),0)</f>
        <v>0</v>
      </c>
      <c r="K6" s="136">
        <f>IF(AND(LL&gt;0,LP&gt;0,HHW&gt;0,HTW&gt;0),LL*SIN(FA_r),0)</f>
        <v>0</v>
      </c>
      <c r="L6" s="21"/>
      <c r="M6" s="134" t="s">
        <v>61</v>
      </c>
      <c r="N6" s="136">
        <f>MIN(J4:J42)</f>
        <v>0</v>
      </c>
      <c r="O6" s="41">
        <f>MIN(K4:K42)</f>
        <v>0</v>
      </c>
      <c r="P6" s="12"/>
      <c r="Q6" s="66" t="s">
        <v>88</v>
      </c>
      <c r="R6" s="24">
        <v>0.5</v>
      </c>
      <c r="S6" s="77"/>
      <c r="T6" s="86"/>
      <c r="U6" s="9"/>
    </row>
    <row r="7" spans="1:22" ht="12.75" customHeight="1">
      <c r="A7" s="8"/>
      <c r="B7" s="46"/>
      <c r="C7" s="4" t="s">
        <v>21</v>
      </c>
      <c r="D7" s="35">
        <f>JGT_1</f>
        <v>0</v>
      </c>
      <c r="E7" s="20" t="s">
        <v>102</v>
      </c>
      <c r="F7" s="42"/>
      <c r="G7" s="12"/>
      <c r="H7" s="50"/>
      <c r="I7" s="5"/>
      <c r="J7" s="21"/>
      <c r="K7" s="19"/>
      <c r="L7" s="21"/>
      <c r="M7" s="11" t="s">
        <v>91</v>
      </c>
      <c r="N7" s="13">
        <f>HS_data_maxx-HS_data_minx</f>
        <v>0</v>
      </c>
      <c r="O7" s="41">
        <f>HS_data_maxy-HS_data_miny</f>
        <v>0</v>
      </c>
      <c r="P7" s="12"/>
      <c r="Q7" s="66" t="s">
        <v>24</v>
      </c>
      <c r="R7" s="24">
        <f>R6+Tack_y_Input</f>
        <v>0.5</v>
      </c>
      <c r="S7" s="77"/>
      <c r="T7" s="86"/>
      <c r="U7" s="9"/>
      <c r="V7" s="222"/>
    </row>
    <row r="8" spans="1:22" ht="12.75" customHeight="1">
      <c r="A8" s="8"/>
      <c r="B8" s="46"/>
      <c r="C8" s="4" t="s">
        <v>19</v>
      </c>
      <c r="D8" s="35">
        <f>JGU_1</f>
        <v>0</v>
      </c>
      <c r="F8" s="42"/>
      <c r="G8" s="12"/>
      <c r="H8" s="50" t="s">
        <v>8</v>
      </c>
      <c r="I8" s="5" t="s">
        <v>28</v>
      </c>
      <c r="J8" s="17">
        <f>Tack_h_x</f>
        <v>0</v>
      </c>
      <c r="K8" s="13">
        <f>Tack_h_y</f>
        <v>0</v>
      </c>
      <c r="L8" s="21"/>
      <c r="O8" s="42"/>
      <c r="P8" s="12"/>
      <c r="Q8" s="66" t="s">
        <v>10</v>
      </c>
      <c r="R8" s="24">
        <v>74</v>
      </c>
      <c r="S8" s="77" t="s">
        <v>14</v>
      </c>
      <c r="T8" s="86"/>
      <c r="U8" s="9"/>
    </row>
    <row r="9" spans="1:22" ht="12.75" customHeight="1">
      <c r="A9" s="8"/>
      <c r="B9" s="46"/>
      <c r="C9" s="4" t="s">
        <v>17</v>
      </c>
      <c r="D9" s="35">
        <f>JGM_1</f>
        <v>0</v>
      </c>
      <c r="F9" s="42"/>
      <c r="G9" s="12"/>
      <c r="H9" s="50"/>
      <c r="I9" s="5" t="s">
        <v>1</v>
      </c>
      <c r="J9" s="17">
        <f>IF(AND(LL&gt;0,LP&gt;0,HHW&gt;0,HTW&gt;0),IF(LP&gt;0,LPextBase-BaseforLPx,0),0)</f>
        <v>0</v>
      </c>
      <c r="K9" s="13">
        <f>IF(AND(LL&gt;0,LP&gt;0,HHW&gt;0,HTW&gt;0),IF(LP&gt;0,LPext*SIN(LPextAngle_r),0),0)</f>
        <v>0</v>
      </c>
      <c r="L9" s="21"/>
      <c r="N9" s="313" t="s">
        <v>57</v>
      </c>
      <c r="O9" s="314"/>
      <c r="P9" s="12"/>
      <c r="Q9" s="66" t="s">
        <v>10</v>
      </c>
      <c r="R9" s="26">
        <f>RADIANS(FA_d)</f>
        <v>1.2915436464758039</v>
      </c>
      <c r="S9" s="78" t="s">
        <v>11</v>
      </c>
      <c r="T9" s="87"/>
      <c r="U9" s="9"/>
    </row>
    <row r="10" spans="1:22" ht="12.75" customHeight="1">
      <c r="A10" s="8"/>
      <c r="B10" s="46"/>
      <c r="C10" s="4" t="s">
        <v>3</v>
      </c>
      <c r="D10" s="35">
        <f>JGL_1</f>
        <v>0</v>
      </c>
      <c r="E10" s="20" t="s">
        <v>102</v>
      </c>
      <c r="F10" s="42"/>
      <c r="G10" s="12"/>
      <c r="H10" s="50"/>
      <c r="I10" s="5" t="s">
        <v>97</v>
      </c>
      <c r="J10" s="17">
        <f>IF(AND(LL&gt;0,LP&gt;0,HHW&gt;0,HTW&gt;0),HLWatLuffy/TAN(FA_r),0)</f>
        <v>0</v>
      </c>
      <c r="K10" s="17">
        <f>IF(AND(LL&gt;0,LP&gt;0,HHW&gt;0,HTW&gt;0),(LL_Below_LP+HLWaboveLP)*SIN(FA_r),0)</f>
        <v>0</v>
      </c>
      <c r="L10" s="21"/>
      <c r="N10" s="13" t="s">
        <v>26</v>
      </c>
      <c r="O10" s="41" t="s">
        <v>27</v>
      </c>
      <c r="P10" s="12"/>
      <c r="Q10" s="66" t="s">
        <v>145</v>
      </c>
      <c r="R10" s="26">
        <f>FA_d+90</f>
        <v>164</v>
      </c>
      <c r="S10" s="77" t="s">
        <v>14</v>
      </c>
      <c r="T10" s="85"/>
      <c r="U10" s="9"/>
    </row>
    <row r="11" spans="1:22" ht="12.75" customHeight="1">
      <c r="A11" s="8"/>
      <c r="B11" s="46"/>
      <c r="C11" s="4" t="s">
        <v>5</v>
      </c>
      <c r="D11" s="35">
        <f>JH_1</f>
        <v>0</v>
      </c>
      <c r="E11" s="20" t="s">
        <v>102</v>
      </c>
      <c r="F11" s="42"/>
      <c r="G11" s="12"/>
      <c r="H11" s="50"/>
      <c r="I11" s="5" t="s">
        <v>98</v>
      </c>
      <c r="J11" s="17">
        <f>IF(AND(LL&gt;0,LP&gt;0,HHW&gt;0,HTW&gt;0),HHWatLuffy/TAN(FA_r),0)</f>
        <v>0</v>
      </c>
      <c r="K11" s="17">
        <f>IF(AND(LL&gt;0,LP&gt;0,HHW&gt;0,HTW&gt;0),(LL_Below_LP+HHWaboveLP)*SIN(FA_r),0)</f>
        <v>0</v>
      </c>
      <c r="L11" s="21"/>
      <c r="M11" s="11" t="s">
        <v>59</v>
      </c>
      <c r="N11" s="13">
        <f>HS_ydata_range+HS_axes_minx</f>
        <v>0</v>
      </c>
      <c r="O11" s="41">
        <f>MAX(K4:K42)</f>
        <v>0</v>
      </c>
      <c r="P11" s="12"/>
      <c r="Q11" s="66" t="s">
        <v>145</v>
      </c>
      <c r="R11" s="26">
        <f>RADIANS(R10)</f>
        <v>2.8623399732707004</v>
      </c>
      <c r="S11" s="78" t="s">
        <v>11</v>
      </c>
      <c r="T11" s="86"/>
      <c r="U11" s="9"/>
    </row>
    <row r="12" spans="1:22" ht="12.75" customHeight="1">
      <c r="A12" s="8"/>
      <c r="B12" s="46"/>
      <c r="C12" s="4" t="s">
        <v>6</v>
      </c>
      <c r="D12" s="35">
        <f>Foot_Off_1</f>
        <v>0</v>
      </c>
      <c r="F12" s="42"/>
      <c r="G12" s="12"/>
      <c r="H12" s="50"/>
      <c r="I12" s="5" t="s">
        <v>94</v>
      </c>
      <c r="J12" s="17">
        <f>IF(AND(LL&gt;0,LP&gt;0,HHW&gt;0,HTW&gt;0),HTWatLuffy/TAN(FA_r),0)</f>
        <v>0</v>
      </c>
      <c r="K12" s="17">
        <f>IF(AND(LL&gt;0,LP&gt;0,HHW&gt;0,HTW&gt;0),(LL_Below_LP+HTWaboveLP)*SIN(FA_r),0)</f>
        <v>0</v>
      </c>
      <c r="L12" s="21"/>
      <c r="M12" s="11" t="s">
        <v>61</v>
      </c>
      <c r="N12" s="13">
        <f>-(HS_ydata_range-HS_xdata_range)/2</f>
        <v>0</v>
      </c>
      <c r="O12" s="41">
        <f>MIN(K4:K42)</f>
        <v>0</v>
      </c>
      <c r="P12" s="12"/>
      <c r="Q12" s="51"/>
      <c r="R12" s="17"/>
      <c r="S12" s="41"/>
      <c r="T12" s="86"/>
      <c r="U12" s="9"/>
    </row>
    <row r="13" spans="1:22" ht="12.75" customHeight="1">
      <c r="A13" s="8"/>
      <c r="B13" s="46"/>
      <c r="F13" s="42"/>
      <c r="G13" s="12"/>
      <c r="H13" s="50"/>
      <c r="I13" s="5" t="s">
        <v>93</v>
      </c>
      <c r="J13" s="17">
        <f>IF(AND(LL&gt;0,LP&gt;0,HHW&gt;0,HTW&gt;0),HUWatLuffy/TAN(FA_r),0)</f>
        <v>0</v>
      </c>
      <c r="K13" s="17">
        <f>IF(AND(LL&gt;0,LP&gt;0,HHW&gt;0,HTW&gt;0),(LL_Below_LP+HUWaboveLP)*SIN(FA_r),0)</f>
        <v>0</v>
      </c>
      <c r="L13" s="21"/>
      <c r="M13" s="15"/>
      <c r="N13" s="13">
        <f>N12-N11</f>
        <v>0</v>
      </c>
      <c r="O13" s="41">
        <f>O11-O12</f>
        <v>0</v>
      </c>
      <c r="P13" s="12"/>
      <c r="Q13" s="66" t="s">
        <v>13</v>
      </c>
      <c r="R13" s="27">
        <f>(90 - FA_d)</f>
        <v>16</v>
      </c>
      <c r="S13" s="77" t="s">
        <v>14</v>
      </c>
      <c r="T13" s="86"/>
      <c r="U13" s="9"/>
    </row>
    <row r="14" spans="1:22" ht="12.75" customHeight="1">
      <c r="A14" s="8"/>
      <c r="B14" s="39"/>
      <c r="C14" s="315" t="s">
        <v>103</v>
      </c>
      <c r="D14" s="316"/>
      <c r="F14" s="42"/>
      <c r="G14" s="12"/>
      <c r="H14" s="51"/>
      <c r="I14" s="17" t="s">
        <v>31</v>
      </c>
      <c r="J14" s="17">
        <f>IF(AND(LL&gt;0,LP&gt;0,HHW&gt;0,HTW&gt;0),Headx,0)</f>
        <v>0</v>
      </c>
      <c r="K14" s="13">
        <f>IF(AND(LL&gt;0,LP&gt;0,HHW&gt;0,HTW&gt;0),Heady,0)</f>
        <v>0</v>
      </c>
      <c r="L14" s="21"/>
      <c r="O14" s="42"/>
      <c r="P14" s="12"/>
      <c r="Q14" s="66" t="s">
        <v>89</v>
      </c>
      <c r="R14" s="27">
        <f>-LPextAngle_d</f>
        <v>-16</v>
      </c>
      <c r="S14" s="77" t="s">
        <v>14</v>
      </c>
      <c r="T14" s="85"/>
      <c r="U14" s="9"/>
    </row>
    <row r="15" spans="1:22" ht="12.75" customHeight="1">
      <c r="A15" s="8"/>
      <c r="B15" s="46"/>
      <c r="C15" s="4" t="s">
        <v>21</v>
      </c>
      <c r="D15" s="35">
        <f>IF(HUW_Input&gt;0,HUW_Input,ROUND(0.52*HTW,2))</f>
        <v>0</v>
      </c>
      <c r="E15" s="9"/>
      <c r="F15" s="42"/>
      <c r="G15" s="12"/>
      <c r="H15" s="52"/>
      <c r="I15" s="29"/>
      <c r="J15" s="21"/>
      <c r="K15" s="19"/>
      <c r="L15" s="21"/>
      <c r="M15" s="15"/>
      <c r="N15" s="313" t="s">
        <v>92</v>
      </c>
      <c r="O15" s="314"/>
      <c r="P15" s="12"/>
      <c r="Q15" s="66" t="s">
        <v>16</v>
      </c>
      <c r="R15" s="26">
        <f>LPextAngle_d*PI()/180</f>
        <v>0.27925268031909273</v>
      </c>
      <c r="S15" s="77" t="s">
        <v>11</v>
      </c>
      <c r="T15" s="85"/>
      <c r="U15" s="9"/>
    </row>
    <row r="16" spans="1:22" ht="12.75" customHeight="1">
      <c r="A16" s="8"/>
      <c r="B16" s="39"/>
      <c r="C16" s="4" t="s">
        <v>3</v>
      </c>
      <c r="D16" s="35">
        <f>IF(HLW_Input&gt;0,HLW_Input,ROUND(HHW+0.5*(LP-HHW),2))</f>
        <v>0</v>
      </c>
      <c r="E16" s="9"/>
      <c r="F16" s="42"/>
      <c r="G16" s="12"/>
      <c r="H16" s="52" t="s">
        <v>31</v>
      </c>
      <c r="I16" s="29" t="s">
        <v>100</v>
      </c>
      <c r="J16" s="17">
        <f>IF(AND(LL&gt;0,LP&gt;0,HHW&gt;0,HTW&gt;0),Headx,0)</f>
        <v>0</v>
      </c>
      <c r="K16" s="13">
        <f>IF(AND(LL&gt;0,LP&gt;0,HHW&gt;0,HTW&gt;0),Heady,0)</f>
        <v>0</v>
      </c>
      <c r="L16" s="21"/>
      <c r="N16" s="11" t="s">
        <v>26</v>
      </c>
      <c r="O16" s="40" t="s">
        <v>27</v>
      </c>
      <c r="P16" s="12"/>
      <c r="Q16" s="67"/>
      <c r="R16" s="22"/>
      <c r="S16" s="76"/>
      <c r="T16" s="86"/>
      <c r="U16" s="9"/>
    </row>
    <row r="17" spans="1:23" ht="12.75" customHeight="1">
      <c r="A17" s="8"/>
      <c r="B17" s="39"/>
      <c r="C17" s="4" t="s">
        <v>5</v>
      </c>
      <c r="D17" s="35">
        <f>IF(JH_Input&gt;0,JH_Input,ROUND(0.005*LL,2))</f>
        <v>0</v>
      </c>
      <c r="E17" s="7"/>
      <c r="F17" s="42"/>
      <c r="G17" s="12"/>
      <c r="H17" s="52"/>
      <c r="I17" s="29" t="s">
        <v>99</v>
      </c>
      <c r="J17" s="17">
        <f>IF(AND(LL&gt;0,LP&gt;0,HHW&gt;0,HTW&gt;0),Headx+JH*COS(LPextAngle_r),0)</f>
        <v>0</v>
      </c>
      <c r="K17" s="17">
        <f>IF(AND(LL&gt;0,LP&gt;0,HHW&gt;0,HTW&gt;0),Heady-JH*SIN(LPextAngle_r),0)</f>
        <v>0</v>
      </c>
      <c r="L17" s="21"/>
      <c r="M17" s="11" t="s">
        <v>95</v>
      </c>
      <c r="N17" s="13">
        <f>N11</f>
        <v>0</v>
      </c>
      <c r="O17" s="41">
        <f>HS_axes_miny</f>
        <v>0</v>
      </c>
      <c r="P17" s="12"/>
      <c r="Q17" s="66" t="s">
        <v>18</v>
      </c>
      <c r="R17" s="26">
        <f>CH/SIN(LPextAngle_r)</f>
        <v>1.8139776392716502</v>
      </c>
      <c r="S17" s="76"/>
      <c r="T17" s="86"/>
      <c r="U17" s="9"/>
    </row>
    <row r="18" spans="1:23" ht="12.75" customHeight="1">
      <c r="A18" s="8"/>
      <c r="B18" s="43"/>
      <c r="C18" s="44"/>
      <c r="D18" s="44"/>
      <c r="E18" s="44"/>
      <c r="F18" s="47"/>
      <c r="G18" s="12"/>
      <c r="H18" s="52"/>
      <c r="I18" s="29"/>
      <c r="J18" s="21"/>
      <c r="K18" s="19"/>
      <c r="L18" s="21"/>
      <c r="M18" s="15"/>
      <c r="N18" s="13">
        <f>HS_axes_minx</f>
        <v>0</v>
      </c>
      <c r="O18" s="41">
        <f>HS_axes_miny</f>
        <v>0</v>
      </c>
      <c r="P18" s="12"/>
      <c r="Q18" s="66" t="s">
        <v>20</v>
      </c>
      <c r="R18" s="26">
        <f>CH/TAN(LPextAngle_r)</f>
        <v>1.7437072219204544</v>
      </c>
      <c r="S18" s="77"/>
      <c r="T18" s="86"/>
      <c r="U18" s="9"/>
    </row>
    <row r="19" spans="1:23" ht="12.75" customHeight="1">
      <c r="A19" s="8"/>
      <c r="B19" s="145"/>
      <c r="C19" s="317"/>
      <c r="D19" s="317"/>
      <c r="E19" s="147"/>
      <c r="F19" s="145"/>
      <c r="G19" s="12"/>
      <c r="H19" s="50" t="s">
        <v>2</v>
      </c>
      <c r="I19" s="5" t="s">
        <v>29</v>
      </c>
      <c r="J19" s="17">
        <f>IF(AND(LL&gt;0,LP&gt;0,HHW&gt;0,HTW&gt;0),Clew_x,0)</f>
        <v>0</v>
      </c>
      <c r="K19" s="13">
        <f>IF(AND(LL&gt;0,LP&gt;0,HHW&gt;0,HTW&gt;0),Clew_y,0)</f>
        <v>0</v>
      </c>
      <c r="L19" s="21"/>
      <c r="M19" s="11" t="s">
        <v>96</v>
      </c>
      <c r="N19" s="13">
        <f>HS_axes_minx</f>
        <v>0</v>
      </c>
      <c r="O19" s="41">
        <f>HS_axes_miny</f>
        <v>0</v>
      </c>
      <c r="P19" s="12"/>
      <c r="Q19" s="66" t="s">
        <v>22</v>
      </c>
      <c r="R19" s="26">
        <f>exthyp + LP</f>
        <v>1.8139776392716502</v>
      </c>
      <c r="S19" s="77"/>
      <c r="T19" s="87"/>
      <c r="U19" s="9"/>
    </row>
    <row r="20" spans="1:23" ht="12.75" customHeight="1">
      <c r="A20" s="8"/>
      <c r="B20" s="145"/>
      <c r="C20" s="181" t="s">
        <v>113</v>
      </c>
      <c r="E20" s="146" t="s">
        <v>26</v>
      </c>
      <c r="F20" s="146" t="s">
        <v>27</v>
      </c>
      <c r="G20" s="12"/>
      <c r="H20" s="50"/>
      <c r="I20" s="5" t="s">
        <v>97</v>
      </c>
      <c r="J20" s="17">
        <f>IF(AND(LL&gt;0,LP&gt;0,HHW&gt;0,HTW&gt;0),HLWatLuffx+HLW*COS(LPextAngle_r),0)</f>
        <v>0</v>
      </c>
      <c r="K20" s="17">
        <f>IF(AND(LL&gt;0,LP&gt;0,HHW&gt;0,HTW&gt;0),HLWatLuffy-HLW*SIN(LPextAngle_r),0)</f>
        <v>0</v>
      </c>
      <c r="L20" s="21"/>
      <c r="M20" s="15"/>
      <c r="N20" s="13">
        <f>HS_axes_minx</f>
        <v>0</v>
      </c>
      <c r="O20" s="41">
        <f>HS_axes_maxy</f>
        <v>0</v>
      </c>
      <c r="P20" s="12"/>
      <c r="Q20" s="66" t="s">
        <v>23</v>
      </c>
      <c r="R20" s="27">
        <f>LPext/COS(LPextAngle_r)</f>
        <v>1.8870799147998585</v>
      </c>
      <c r="S20" s="77"/>
      <c r="T20" s="88"/>
      <c r="U20" s="9"/>
    </row>
    <row r="21" spans="1:23" ht="12.75" customHeight="1">
      <c r="A21" s="8"/>
      <c r="B21" s="59"/>
      <c r="C21" s="182" t="str">
        <f>IF(AND(LL&gt;0,LP&gt;0,HHW&gt;0,HTW&gt;0),IF(LL&gt;0,"Luff Length",""),"")</f>
        <v/>
      </c>
      <c r="E21" s="202">
        <f>IF(AND(LL&gt;0,LP&gt;0,HHW&gt;0,HTW&gt;0),IF(LL&gt;0,H134+0.5*LL*COS(FA_r),0),0)</f>
        <v>0</v>
      </c>
      <c r="F21" s="202">
        <f>IF(AND(LL&gt;0,LP&gt;0,HHW&gt;0,HTW&gt;0),IF(LL&gt;0,I134+0.5*LL*SIN(FA_r),0),0)</f>
        <v>0</v>
      </c>
      <c r="G21" s="8"/>
      <c r="H21" s="52"/>
      <c r="I21" s="5" t="s">
        <v>98</v>
      </c>
      <c r="J21" s="17">
        <f>IF(AND(LL&gt;0,LP&gt;0,HHW&gt;0,HTW&gt;0),HHWatLuffx+HHW*COS(LPextAngle_r),0)</f>
        <v>0</v>
      </c>
      <c r="K21" s="17">
        <f>IF(AND(LL&gt;0,LP&gt;0,HHW&gt;0,HTW&gt;0),HHWatLuffy-HHW*SIN(LPextAngle_r),0)</f>
        <v>0</v>
      </c>
      <c r="L21" s="21"/>
      <c r="O21" s="42"/>
      <c r="P21" s="12"/>
      <c r="Q21" s="67"/>
      <c r="R21" s="22"/>
      <c r="S21" s="78"/>
      <c r="T21" s="88"/>
      <c r="U21" s="9"/>
    </row>
    <row r="22" spans="1:23" ht="12.75" customHeight="1">
      <c r="A22" s="8"/>
      <c r="C22" s="182" t="str">
        <f>IF(AND(LL&gt;0,LP&gt;0,HHW&gt;0,HTW&gt;0),IF(JH_Input&gt;0,"Top Width",""),"")</f>
        <v/>
      </c>
      <c r="E22" s="202">
        <f>IF(JH_Input&gt;0,H127+E44,0)</f>
        <v>0</v>
      </c>
      <c r="F22" s="202">
        <f>IF(JH_Input&gt;0,I127-E119,0)</f>
        <v>0</v>
      </c>
      <c r="G22" s="12"/>
      <c r="H22" s="52"/>
      <c r="I22" s="5" t="s">
        <v>94</v>
      </c>
      <c r="J22" s="17">
        <f>IF(AND(LL&gt;0,LP&gt;0,HHW&gt;0,HTW&gt;0),HTWatLuffx+HTW*COS(LPextAngle_r),0)</f>
        <v>0</v>
      </c>
      <c r="K22" s="17">
        <f>IF(AND(LL&gt;0,LP&gt;0,HHW&gt;0,HTW&gt;0),HTWatLuffy-HTW*SIN(LPextAngle_r),0)</f>
        <v>0</v>
      </c>
      <c r="L22" s="21"/>
      <c r="M22" s="21"/>
      <c r="N22" s="21"/>
      <c r="O22" s="53"/>
      <c r="P22" s="12"/>
      <c r="Q22" s="66" t="s">
        <v>25</v>
      </c>
      <c r="R22" s="27">
        <f>LPext*COS(LPextAngle_r)</f>
        <v>1.7437072219204546</v>
      </c>
      <c r="S22" s="79"/>
      <c r="T22" s="88"/>
      <c r="U22" s="9"/>
    </row>
    <row r="23" spans="1:23" ht="12.75" customHeight="1">
      <c r="A23" s="8"/>
      <c r="C23" s="183" t="str">
        <f>IF(AND(LL&gt;0,LP&gt;0,HHW&gt;0,HTW&gt;0),IF(HUW_Input&gt;0,"7/8 Width",""),"")</f>
        <v/>
      </c>
      <c r="E23" s="202">
        <f>IF(HUW_Input&gt;0,ReHUWatLeechx+E44,0)</f>
        <v>0</v>
      </c>
      <c r="F23" s="202">
        <f>IF(HUW_Input&gt;0,ReHUWatLeechy-E119,0)</f>
        <v>0</v>
      </c>
      <c r="G23" s="12"/>
      <c r="H23" s="52"/>
      <c r="I23" s="5" t="s">
        <v>93</v>
      </c>
      <c r="J23" s="17">
        <f>IF(AND(LL&gt;0,LP&gt;0,HHW&gt;0,HTW&gt;0),HUWatLuffx+HUW*COS(LPextAngle_r),0)</f>
        <v>0</v>
      </c>
      <c r="K23" s="17">
        <f>IF(AND(LL&gt;0,LP&gt;0,HHW&gt;0,HTW&gt;0),HUWatLuffy-HUW*SIN(LPextAngle_r),0)</f>
        <v>0</v>
      </c>
      <c r="L23" s="21"/>
      <c r="M23" s="21"/>
      <c r="N23" s="21"/>
      <c r="O23" s="53"/>
      <c r="P23" s="12"/>
      <c r="Q23" s="66"/>
      <c r="R23" s="26"/>
      <c r="S23" s="79"/>
      <c r="T23" s="88"/>
      <c r="U23" s="9"/>
    </row>
    <row r="24" spans="1:23" ht="12.75" customHeight="1">
      <c r="A24" s="8"/>
      <c r="C24" s="183" t="str">
        <f>IF(AND(LL&gt;0,LP&gt;0,HHW&gt;0,HTW&gt;0),IF(HTW&gt;0,IF(RatioThird&lt;0.1387,"3/4 Width",""),""),"")</f>
        <v/>
      </c>
      <c r="D24" s="199" t="s">
        <v>170</v>
      </c>
      <c r="E24" s="202">
        <f>HTWatLuffx+0.5*HTW*COS(-LPextAngle_r)</f>
        <v>0</v>
      </c>
      <c r="F24" s="202">
        <f>HTWatLuffy+0.5*HTW*SIN(-LPextAngle_r)</f>
        <v>0</v>
      </c>
      <c r="G24" s="12"/>
      <c r="H24" s="52"/>
      <c r="I24" s="29" t="s">
        <v>31</v>
      </c>
      <c r="J24" s="31">
        <f>IF(AND(LL&gt;0,LP&gt;0,HHW&gt;0,HTW&gt;0),JHatLeechx,0)</f>
        <v>0</v>
      </c>
      <c r="K24" s="13">
        <f>IF(AND(LL&gt;0,LP&gt;0,HHW&gt;0,HTW&gt;0),JHatLeechy,0)</f>
        <v>0</v>
      </c>
      <c r="L24" s="21"/>
      <c r="M24" s="21"/>
      <c r="N24" s="21"/>
      <c r="O24" s="53"/>
      <c r="P24" s="12"/>
      <c r="Q24" s="66" t="s">
        <v>30</v>
      </c>
      <c r="R24" s="26">
        <f>SQRT(LPatLuff_x^2+LPatLuff_y^2)</f>
        <v>0</v>
      </c>
      <c r="S24" s="79"/>
      <c r="T24" s="88"/>
      <c r="U24" s="9"/>
    </row>
    <row r="25" spans="1:23" ht="12.75" customHeight="1">
      <c r="A25" s="8"/>
      <c r="C25" s="183" t="str">
        <f>IF(AND(LL&gt;0,LP&gt;0,HHW&gt;0,HTW&gt;0),IF(HTW&gt;0,IF(RatioThird&gt;=0.1387,"3/4 Width",""),""),"")</f>
        <v/>
      </c>
      <c r="D25" s="199" t="s">
        <v>171</v>
      </c>
      <c r="E25" s="202">
        <f>IF(AND(LL&gt;0,LP&gt;0,HHW&gt;0,HTW&gt;0),E24-1.5*$E$44*COS(FA_r),0)</f>
        <v>0</v>
      </c>
      <c r="F25" s="202">
        <f>IF(AND(LL&gt;0,LP&gt;0,HHW&gt;0,HTW&gt;0),F24-1.5*$E$44*SIN(FA_r),0)</f>
        <v>0</v>
      </c>
      <c r="G25" s="12"/>
      <c r="H25" s="52"/>
      <c r="I25" s="29"/>
      <c r="J25" s="21"/>
      <c r="K25" s="19"/>
      <c r="L25" s="21"/>
      <c r="M25" s="21"/>
      <c r="N25" s="21"/>
      <c r="O25" s="53"/>
      <c r="P25" s="12"/>
      <c r="Q25" s="66" t="s">
        <v>32</v>
      </c>
      <c r="R25" s="26">
        <f>LL-LL_Below_LP</f>
        <v>0</v>
      </c>
      <c r="S25" s="79"/>
      <c r="T25" s="87"/>
      <c r="U25" s="9"/>
    </row>
    <row r="26" spans="1:23" ht="12.75" customHeight="1">
      <c r="A26" s="8"/>
      <c r="D26" s="199" t="s">
        <v>172</v>
      </c>
      <c r="E26" s="202">
        <f>IF(AND(LL&gt;0,LP&gt;0,HHW&gt;0,HTW&gt;0),ReHTWatLeechx +E44,0)</f>
        <v>0</v>
      </c>
      <c r="F26" s="202">
        <f>IF(AND(LL&gt;0,LP&gt;0,HHW&gt;0,HTW&gt;0),ReHTWatLeechy-E119,0)</f>
        <v>0</v>
      </c>
      <c r="G26" s="58"/>
      <c r="H26" s="50" t="s">
        <v>2</v>
      </c>
      <c r="I26" s="235" t="s">
        <v>132</v>
      </c>
      <c r="J26" s="208">
        <f>H148</f>
        <v>0</v>
      </c>
      <c r="K26" s="208">
        <f>I148</f>
        <v>0</v>
      </c>
      <c r="O26" s="42"/>
      <c r="P26" s="12"/>
      <c r="Q26" s="66"/>
      <c r="R26" s="27"/>
      <c r="S26" s="79"/>
      <c r="T26" s="87"/>
      <c r="U26" s="9"/>
      <c r="W26" s="6" t="e">
        <f>HHW/HS_dummy_vert_miny</f>
        <v>#DIV/0!</v>
      </c>
    </row>
    <row r="27" spans="1:23" ht="12.75" customHeight="1">
      <c r="A27" s="8"/>
      <c r="C27" s="183" t="str">
        <f>IF(AND(LL&gt;0,LP&gt;0,HHW&gt;0,HTW&gt;0),IF(HHW&gt;0,IF(RatioHalf&gt;=0.1387,"1/2 Width",""),""),"")</f>
        <v/>
      </c>
      <c r="D27" s="199" t="s">
        <v>164</v>
      </c>
      <c r="E27" s="202">
        <f>HHWatLuffx+0.5*HHW*COS(-LPextAngle_r)</f>
        <v>0</v>
      </c>
      <c r="F27" s="202">
        <f>HHWatLuffy+0.5*HHW*SIN(-LPextAngle_r)</f>
        <v>0</v>
      </c>
      <c r="G27" s="58"/>
      <c r="H27" s="50" t="s">
        <v>175</v>
      </c>
      <c r="I27" s="235" t="s">
        <v>133</v>
      </c>
      <c r="J27" s="208">
        <f>H149</f>
        <v>0</v>
      </c>
      <c r="K27" s="208">
        <f>I149</f>
        <v>0</v>
      </c>
      <c r="O27" s="42"/>
      <c r="P27" s="12"/>
      <c r="Q27" s="66" t="s">
        <v>176</v>
      </c>
      <c r="R27" s="27">
        <f>SQRT(LP^2+LL_Above_LP^2)</f>
        <v>0</v>
      </c>
      <c r="S27" s="78"/>
      <c r="T27" s="87"/>
      <c r="U27" s="9"/>
    </row>
    <row r="28" spans="1:23" ht="12.75" customHeight="1">
      <c r="A28" s="8"/>
      <c r="D28" s="199" t="s">
        <v>167</v>
      </c>
      <c r="E28" s="202">
        <f>IF(AND(LL&gt;0,LP&gt;0,HHW&gt;0,HTW&gt;0),E27-1.5*$E$44*COS(FA_r),0)</f>
        <v>0</v>
      </c>
      <c r="F28" s="202">
        <f>IF(AND(LL&gt;0,LP&gt;0,HHW&gt;0,HTW&gt;0),F27-1.5*$E$44*SIN(FA_r),0)</f>
        <v>0</v>
      </c>
      <c r="G28" s="12"/>
      <c r="H28" s="39"/>
      <c r="O28" s="42"/>
      <c r="P28" s="12"/>
      <c r="Q28" s="66"/>
      <c r="R28" s="27"/>
      <c r="S28" s="78"/>
      <c r="T28" s="86"/>
      <c r="U28" s="9"/>
    </row>
    <row r="29" spans="1:23" ht="12.75" customHeight="1">
      <c r="A29" s="8"/>
      <c r="C29" s="183" t="str">
        <f>IF(AND(LL&gt;0,LP&gt;0,HHW&gt;0,HTW&gt;0),IF(HHW&gt;0,IF(RatioHalf&lt;0.1387,"1/2 Width",""),""),"")</f>
        <v/>
      </c>
      <c r="D29" s="199" t="s">
        <v>168</v>
      </c>
      <c r="E29" s="202">
        <f>IF(AND(LL&gt;0,LP&gt;0,HHW&gt;0,HTW&gt;0),ReHHWatLeechx+E44,0)</f>
        <v>0</v>
      </c>
      <c r="F29" s="202">
        <f>IF(AND(LL&gt;0,LP&gt;0,HHW&gt;0,HTW&gt;0),ReHHWatLeechy-E119,0)</f>
        <v>0</v>
      </c>
      <c r="G29" s="12"/>
      <c r="H29" s="50" t="s">
        <v>44</v>
      </c>
      <c r="I29" s="17" t="s">
        <v>1</v>
      </c>
      <c r="J29" s="17">
        <f>IF(AND(LL&gt;0,LP&gt;0,HHW&gt;0,HTW&gt;0),LPatLuff_x,0)</f>
        <v>0</v>
      </c>
      <c r="K29" s="13">
        <f>IF(AND(LL&gt;0,LP&gt;0,HHW&gt;0,HTW&gt;0),LPatLuff_y,0)</f>
        <v>0</v>
      </c>
      <c r="L29" s="30"/>
      <c r="M29" s="30"/>
      <c r="N29" s="30"/>
      <c r="O29" s="217"/>
      <c r="P29" s="12"/>
      <c r="Q29" s="66" t="s">
        <v>153</v>
      </c>
      <c r="R29" s="27" t="e">
        <f>ASIN(CH/Foot_Length)</f>
        <v>#DIV/0!</v>
      </c>
      <c r="S29" s="77" t="s">
        <v>11</v>
      </c>
      <c r="T29" s="86"/>
      <c r="U29" s="9"/>
      <c r="W29" s="6">
        <f>HS_dummy_vert_miny*0.1387</f>
        <v>0</v>
      </c>
    </row>
    <row r="30" spans="1:23" ht="12.75" customHeight="1">
      <c r="A30" s="8"/>
      <c r="C30" s="183" t="str">
        <f>IF(AND(LL&gt;0,LP&gt;0,HHW&gt;0,HTW&gt;0),IF(HLW_Input&gt;0,"1/4 Width",""),"")</f>
        <v/>
      </c>
      <c r="D30" s="199" t="s">
        <v>163</v>
      </c>
      <c r="E30" s="202">
        <f>HLWatLuffx+0.5*HLW*COS(-LPextAngle_r)</f>
        <v>0</v>
      </c>
      <c r="F30" s="202">
        <f>HLWatLuffy+0.5*HLW*SIN(-LPextAngle_r)</f>
        <v>0</v>
      </c>
      <c r="H30" s="50"/>
      <c r="I30" s="5"/>
      <c r="J30" s="17">
        <f>IF(AND(LL&gt;0,LP&gt;0,HHW&gt;0,HTW&gt;0),Clew_x,0)</f>
        <v>0</v>
      </c>
      <c r="K30" s="13">
        <f>IF(AND(LL&gt;0,LP&gt;0,HHW&gt;0,HTW&gt;0),Clew_y,0)</f>
        <v>0</v>
      </c>
      <c r="L30" s="30"/>
      <c r="M30" s="30"/>
      <c r="N30" s="30"/>
      <c r="O30" s="217"/>
      <c r="P30" s="12"/>
      <c r="Q30" s="66"/>
      <c r="R30" s="27" t="e">
        <f>DEGREES(R29)</f>
        <v>#DIV/0!</v>
      </c>
      <c r="S30" s="77" t="s">
        <v>14</v>
      </c>
      <c r="T30" s="87"/>
      <c r="U30" s="9"/>
    </row>
    <row r="31" spans="1:23" ht="12.75" customHeight="1">
      <c r="A31" s="8"/>
      <c r="E31" s="202">
        <f>IF(AND(LL&gt;0,LP&gt;0,HHW&gt;0,HTW&gt;0),E30-1.5*$E$44*COS(FA_r),0)</f>
        <v>0</v>
      </c>
      <c r="F31" s="202">
        <f>IF(AND(LL&gt;0,LP&gt;0,HHW&gt;0,HTW&gt;0),F30-1.5*$E$44*SIN(FA_r),0)</f>
        <v>0</v>
      </c>
      <c r="G31" s="12"/>
      <c r="H31" s="50"/>
      <c r="I31" s="5" t="s">
        <v>97</v>
      </c>
      <c r="J31" s="17">
        <f>IF(HLW_Input&gt;0,HLWatLuffx,0)</f>
        <v>0</v>
      </c>
      <c r="K31" s="17">
        <f>IF(HLW_Input&gt;0,HLWatLuffy,0)</f>
        <v>0</v>
      </c>
      <c r="L31" s="30"/>
      <c r="M31" s="30"/>
      <c r="N31" s="30"/>
      <c r="O31" s="217"/>
      <c r="P31" s="12"/>
      <c r="Q31" s="66" t="s">
        <v>155</v>
      </c>
      <c r="R31" s="27" t="e">
        <f>R30+90</f>
        <v>#DIV/0!</v>
      </c>
      <c r="S31" s="77" t="s">
        <v>14</v>
      </c>
      <c r="T31" s="87"/>
      <c r="U31" s="9"/>
    </row>
    <row r="32" spans="1:23" ht="12.75" customHeight="1">
      <c r="A32" s="8"/>
      <c r="D32" s="199" t="s">
        <v>162</v>
      </c>
      <c r="E32" s="202">
        <f>LPatLuff_x+0.5*LP*COS(-LPextAngle_r)</f>
        <v>0</v>
      </c>
      <c r="F32" s="202">
        <f>LPatLuff_y+0.5*LP*SIN(-LPextAngle_r)</f>
        <v>0</v>
      </c>
      <c r="G32" s="12"/>
      <c r="H32" s="50"/>
      <c r="I32" s="5"/>
      <c r="J32" s="17">
        <f>IF(HLW_Input&gt;0,ReHLWatLeechx,0)</f>
        <v>0</v>
      </c>
      <c r="K32" s="17">
        <f>IF(HLW_Input&gt;0,ReHLWatLeechy,0)</f>
        <v>0</v>
      </c>
      <c r="L32" s="30"/>
      <c r="M32" s="30"/>
      <c r="N32" s="30"/>
      <c r="O32" s="217"/>
      <c r="P32" s="12"/>
      <c r="Q32" s="66" t="s">
        <v>156</v>
      </c>
      <c r="R32" s="27" t="e">
        <f>R30-90</f>
        <v>#DIV/0!</v>
      </c>
      <c r="S32" s="77" t="s">
        <v>14</v>
      </c>
      <c r="T32" s="86"/>
      <c r="U32" s="9"/>
    </row>
    <row r="33" spans="1:21" ht="12.75" customHeight="1">
      <c r="A33" s="8"/>
      <c r="C33" s="182" t="str">
        <f>IF(AND(LL&gt;0,LP&gt;0,HHW&gt;0,HTW&gt;0),IF(LP&gt;0,"LP",""),"")</f>
        <v/>
      </c>
      <c r="E33" s="202">
        <f>IF(AND(LL&gt;0,LP&gt;0,HHW&gt;0,HTW&gt;0),E32+1.5*E44*COS(FA_r),0)</f>
        <v>0</v>
      </c>
      <c r="F33" s="202">
        <f>IF(AND(LL&gt;0,LP&gt;0,HHW&gt;0,HTW&gt;0),F32+1.5*E44*SIN(FA_r),0)</f>
        <v>0</v>
      </c>
      <c r="G33" s="12"/>
      <c r="H33" s="51"/>
      <c r="I33" s="5" t="s">
        <v>98</v>
      </c>
      <c r="J33" s="17">
        <f>IF(AND(LL&gt;0,LP&gt;0,HHW&gt;0,HTW&gt;0),HHWatLuffx,0)</f>
        <v>0</v>
      </c>
      <c r="K33" s="17">
        <f>IF(AND(LL&gt;0,LP&gt;0,HHW&gt;0,HTW&gt;0),HHWatLuffy,0)</f>
        <v>0</v>
      </c>
      <c r="L33" s="30"/>
      <c r="M33" s="30"/>
      <c r="N33" s="30"/>
      <c r="O33" s="217"/>
      <c r="P33" s="12"/>
      <c r="Q33" s="66" t="s">
        <v>155</v>
      </c>
      <c r="R33" s="27" t="e">
        <f>RADIANS(R31)</f>
        <v>#DIV/0!</v>
      </c>
      <c r="S33" s="77" t="s">
        <v>11</v>
      </c>
      <c r="T33" s="86"/>
      <c r="U33" s="9"/>
    </row>
    <row r="34" spans="1:21" ht="12.75" customHeight="1">
      <c r="A34" s="8"/>
      <c r="C34" s="221" t="str">
        <f>IF(LP&gt;1000,"Perpend","")</f>
        <v/>
      </c>
      <c r="E34" s="220"/>
      <c r="F34" s="220"/>
      <c r="G34" s="12"/>
      <c r="H34" s="50"/>
      <c r="I34" s="5"/>
      <c r="J34" s="17">
        <f>IF(AND(LL&gt;0,LP&gt;0,HHW&gt;0,HTW&gt;0),ReHHWatLeechx,0)</f>
        <v>0</v>
      </c>
      <c r="K34" s="17">
        <f>IF(AND(LL&gt;0,LP&gt;0,HHW&gt;0,HTW&gt;0),ReHHWatLeechy,0)</f>
        <v>0</v>
      </c>
      <c r="L34" s="30"/>
      <c r="M34" s="30"/>
      <c r="N34" s="30"/>
      <c r="O34" s="217"/>
      <c r="P34" s="12"/>
      <c r="Q34" s="66" t="s">
        <v>156</v>
      </c>
      <c r="R34" s="27" t="e">
        <f>RADIANS(R32)</f>
        <v>#DIV/0!</v>
      </c>
      <c r="S34" s="77" t="s">
        <v>11</v>
      </c>
      <c r="T34" s="87"/>
      <c r="U34" s="9"/>
    </row>
    <row r="35" spans="1:21" ht="12.75" customHeight="1">
      <c r="A35" s="8"/>
      <c r="C35" s="198" t="str">
        <f>IF(AND(LL&gt;0,LP&gt;0,HHW&gt;0,HTW&gt;0),IF(Foot_Offset_Input&gt;0,"Foot Offset",""),"")</f>
        <v/>
      </c>
      <c r="E35" s="202">
        <f>IF(Foot_Offset_Input&gt;0,Clew_x+E44,0)</f>
        <v>0</v>
      </c>
      <c r="F35" s="202">
        <f>IF(Foot_Offset_Input&gt;0,Tack_h_y-E44,0)</f>
        <v>0</v>
      </c>
      <c r="G35" s="12"/>
      <c r="H35" s="51"/>
      <c r="I35" s="5" t="s">
        <v>94</v>
      </c>
      <c r="J35" s="17">
        <f>IF(AND(LL&gt;0,LP&gt;0,HHW&gt;0,HTW&gt;0),HTWatLuffx,0)</f>
        <v>0</v>
      </c>
      <c r="K35" s="17">
        <f>IF(AND(LL&gt;0,LP&gt;0,HHW&gt;0,HTW&gt;0),HTWatLuffy,0)</f>
        <v>0</v>
      </c>
      <c r="L35" s="30"/>
      <c r="M35" s="30"/>
      <c r="N35" s="30"/>
      <c r="O35" s="217"/>
      <c r="P35" s="12"/>
      <c r="Q35" s="66"/>
      <c r="R35" s="27"/>
      <c r="S35" s="78"/>
      <c r="T35" s="87"/>
      <c r="U35" s="9"/>
    </row>
    <row r="36" spans="1:21" ht="12.75" customHeight="1">
      <c r="A36" s="8"/>
      <c r="G36" s="12"/>
      <c r="H36" s="50"/>
      <c r="I36" s="5"/>
      <c r="J36" s="17">
        <f>IF(AND(LL&gt;0,LP&gt;0,HHW&gt;0,HTW&gt;0),ReHTWatLeechx,0)</f>
        <v>0</v>
      </c>
      <c r="K36" s="17">
        <f>IF(AND(LL&gt;0,LP&gt;0,HHW&gt;0,HTW&gt;0),ReHTWatLeechy,0)</f>
        <v>0</v>
      </c>
      <c r="L36" s="30"/>
      <c r="M36" s="30"/>
      <c r="N36" s="30"/>
      <c r="O36" s="217"/>
      <c r="P36" s="12"/>
      <c r="Q36" s="68" t="s">
        <v>33</v>
      </c>
      <c r="R36" s="27"/>
      <c r="S36" s="78"/>
      <c r="T36" s="87"/>
      <c r="U36" s="9"/>
    </row>
    <row r="37" spans="1:21" ht="12.75" customHeight="1">
      <c r="A37" s="8"/>
      <c r="C37" s="198" t="str">
        <f>IF(AND(LL&gt;0,LP&gt;0,HHW&gt;0,HTW&gt;0),IF(JLE_1&gt;0,"Leech Length",""),"")</f>
        <v/>
      </c>
      <c r="E37" s="6">
        <f>IF(JLE_1&gt;0,H149+0.35*Leech*COS(SLA_r),0)</f>
        <v>0</v>
      </c>
      <c r="F37" s="6">
        <f>IF(JLE_1&gt;0,I149+0.35*Leech*SIN(SLA_r),0)</f>
        <v>0</v>
      </c>
      <c r="G37" s="12"/>
      <c r="H37" s="50"/>
      <c r="I37" s="5" t="s">
        <v>93</v>
      </c>
      <c r="J37" s="17">
        <f>IF(HUW_Input&gt;0,HUWatLuffx,0)</f>
        <v>0</v>
      </c>
      <c r="K37" s="17">
        <f>IF(HUW_Input&gt;0,HUWatLuffy,0)</f>
        <v>0</v>
      </c>
      <c r="L37" s="30"/>
      <c r="M37" s="30"/>
      <c r="N37" s="30"/>
      <c r="O37" s="217"/>
      <c r="P37" s="12"/>
      <c r="Q37" s="66" t="s">
        <v>34</v>
      </c>
      <c r="R37" s="26" t="e">
        <f>ACOS(LL_Above_LP/Leech)</f>
        <v>#DIV/0!</v>
      </c>
      <c r="S37" s="77" t="s">
        <v>11</v>
      </c>
      <c r="T37" s="87"/>
      <c r="U37" s="9"/>
    </row>
    <row r="38" spans="1:21" ht="12.75" customHeight="1">
      <c r="A38" s="8"/>
      <c r="F38" s="202"/>
      <c r="G38" s="12"/>
      <c r="H38" s="52"/>
      <c r="I38" s="5"/>
      <c r="J38" s="17">
        <f>IF(HUW_Input&gt;0,ReHUWatLeechx,0)</f>
        <v>0</v>
      </c>
      <c r="K38" s="17">
        <f>IF(HUW_Input&gt;0,ReHUWatLeechy,0)</f>
        <v>0</v>
      </c>
      <c r="L38" s="30"/>
      <c r="M38" s="30"/>
      <c r="N38" s="30"/>
      <c r="O38" s="217"/>
      <c r="P38" s="12"/>
      <c r="Q38" s="66" t="s">
        <v>35</v>
      </c>
      <c r="R38" s="26" t="e">
        <f>HA_r*180/PI()</f>
        <v>#DIV/0!</v>
      </c>
      <c r="S38" s="77" t="s">
        <v>14</v>
      </c>
      <c r="T38" s="87"/>
      <c r="U38" s="9"/>
    </row>
    <row r="39" spans="1:21" ht="12.75" customHeight="1">
      <c r="B39" s="14"/>
      <c r="F39" s="203"/>
      <c r="G39" s="204"/>
      <c r="H39" s="51"/>
      <c r="I39" s="17"/>
      <c r="J39" s="21"/>
      <c r="K39" s="19"/>
      <c r="L39" s="30"/>
      <c r="M39" s="21"/>
      <c r="N39" s="21"/>
      <c r="O39" s="217"/>
      <c r="P39" s="12"/>
      <c r="Q39" s="66"/>
      <c r="R39" s="26"/>
      <c r="S39" s="78"/>
      <c r="T39" s="87"/>
      <c r="U39" s="9"/>
    </row>
    <row r="40" spans="1:21">
      <c r="A40" s="8"/>
      <c r="B40" s="145"/>
      <c r="F40" s="197"/>
      <c r="G40" s="205"/>
      <c r="H40" s="51" t="s">
        <v>9</v>
      </c>
      <c r="I40" s="5" t="s">
        <v>28</v>
      </c>
      <c r="J40" s="17">
        <f>Tack_h_x</f>
        <v>0</v>
      </c>
      <c r="K40" s="13">
        <f>Tack_h_y</f>
        <v>0</v>
      </c>
      <c r="L40" s="30"/>
      <c r="M40" s="30"/>
      <c r="N40" s="30"/>
      <c r="O40" s="217"/>
      <c r="P40" s="12"/>
      <c r="Q40" s="68" t="s">
        <v>36</v>
      </c>
      <c r="R40" s="26"/>
      <c r="S40" s="78"/>
      <c r="T40" s="87"/>
      <c r="U40" s="9"/>
    </row>
    <row r="41" spans="1:21">
      <c r="A41" s="8"/>
      <c r="B41" s="145"/>
      <c r="C41" s="234"/>
      <c r="F41" s="197"/>
      <c r="G41" s="205"/>
      <c r="H41" s="51"/>
      <c r="I41" s="17" t="s">
        <v>157</v>
      </c>
      <c r="J41" s="219">
        <f>IF(AND(LL&gt;0,LP&gt;0,HHW&gt;0,HTW&gt;0),IF(Foot_Offset_Input&gt;0,FootMidx+Foot_Offset_Input*COS($R$34),FootMidx+FootOffset*COS($R$34)),0)</f>
        <v>0</v>
      </c>
      <c r="K41" s="219">
        <f>IF(AND(LL&gt;0,LP&gt;0,HHW&gt;0,HTW&gt;0),IF(Foot_Offset_Input&gt;0,FootMidy+Foot_Offset_Input*SIN($R$34),FootMidy+FootOffset*SIN($R$34)),0)</f>
        <v>0</v>
      </c>
      <c r="L41" s="30"/>
      <c r="M41" s="30"/>
      <c r="N41" s="30"/>
      <c r="O41" s="217"/>
      <c r="P41" s="12"/>
      <c r="Q41" s="66" t="s">
        <v>37</v>
      </c>
      <c r="R41" s="26" t="e">
        <f>ATAN(LP/LL_Below_LP)</f>
        <v>#DIV/0!</v>
      </c>
      <c r="S41" s="77" t="s">
        <v>11</v>
      </c>
      <c r="T41" s="86"/>
      <c r="U41" s="9"/>
    </row>
    <row r="42" spans="1:21">
      <c r="A42" s="8"/>
      <c r="B42" s="145"/>
      <c r="C42" s="234"/>
      <c r="F42" s="197"/>
      <c r="G42" s="205"/>
      <c r="H42" s="54"/>
      <c r="I42" s="55" t="s">
        <v>29</v>
      </c>
      <c r="J42" s="56">
        <f>IF(AND(LL&gt;0,LP&gt;0,HHW&gt;0,HTW&gt;0),Clew_x,0)</f>
        <v>0</v>
      </c>
      <c r="K42" s="57">
        <f>IF(AND(LL&gt;0,LP&gt;0,HHW&gt;0,HTW&gt;0),Clew_y,0)</f>
        <v>0</v>
      </c>
      <c r="L42" s="216"/>
      <c r="M42" s="216"/>
      <c r="N42" s="216"/>
      <c r="O42" s="218"/>
      <c r="P42" s="12"/>
      <c r="Q42" s="66" t="s">
        <v>38</v>
      </c>
      <c r="R42" s="26" t="e">
        <f>TA_r*180/PI()</f>
        <v>#DIV/0!</v>
      </c>
      <c r="S42" s="77" t="s">
        <v>14</v>
      </c>
      <c r="T42" s="86"/>
      <c r="U42" s="9"/>
    </row>
    <row r="43" spans="1:21">
      <c r="A43" s="8"/>
      <c r="B43" s="145"/>
      <c r="C43" s="234"/>
      <c r="F43" s="197"/>
      <c r="G43" s="205"/>
      <c r="H43" s="207"/>
      <c r="P43" s="12"/>
      <c r="Q43" s="66"/>
      <c r="R43" s="26"/>
      <c r="S43" s="78"/>
      <c r="T43" s="87"/>
      <c r="U43" s="9"/>
    </row>
    <row r="44" spans="1:21">
      <c r="A44" s="8"/>
      <c r="B44" s="145"/>
      <c r="C44" s="184" t="s">
        <v>114</v>
      </c>
      <c r="E44" s="202">
        <v>0.3</v>
      </c>
      <c r="F44" s="197"/>
      <c r="G44" s="205"/>
      <c r="H44" s="207"/>
      <c r="P44" s="12"/>
      <c r="Q44" s="66" t="s">
        <v>39</v>
      </c>
      <c r="R44" s="26">
        <f>0.5*Leech</f>
        <v>0</v>
      </c>
      <c r="S44" s="78"/>
      <c r="T44" s="87"/>
      <c r="U44" s="9"/>
    </row>
    <row r="45" spans="1:21">
      <c r="A45" s="8"/>
      <c r="B45" s="145"/>
      <c r="C45" s="6" t="s">
        <v>169</v>
      </c>
      <c r="E45" s="6" t="e">
        <f>HHW/HS_ydata_range</f>
        <v>#DIV/0!</v>
      </c>
      <c r="F45" s="197"/>
      <c r="G45" s="205"/>
      <c r="H45" s="207"/>
      <c r="P45" s="12"/>
      <c r="Q45" s="66" t="s">
        <v>40</v>
      </c>
      <c r="R45" s="26">
        <f>0.5*Half_Leech</f>
        <v>0</v>
      </c>
      <c r="S45" s="78"/>
      <c r="T45" s="86"/>
      <c r="U45" s="9"/>
    </row>
    <row r="46" spans="1:21">
      <c r="A46" s="8"/>
      <c r="B46" s="145"/>
      <c r="C46" s="6" t="s">
        <v>173</v>
      </c>
      <c r="E46" s="6" t="e">
        <f>HTW/HS_ydata_range</f>
        <v>#DIV/0!</v>
      </c>
      <c r="F46" s="197"/>
      <c r="G46" s="205"/>
      <c r="H46" s="207"/>
      <c r="P46" s="12"/>
      <c r="Q46" s="66" t="s">
        <v>41</v>
      </c>
      <c r="R46" s="26">
        <f>0.5*Qtr_Leech</f>
        <v>0</v>
      </c>
      <c r="S46" s="78"/>
      <c r="T46" s="87"/>
      <c r="U46" s="9"/>
    </row>
    <row r="47" spans="1:21">
      <c r="A47" s="8"/>
      <c r="B47" s="145"/>
      <c r="C47" s="234"/>
      <c r="F47" s="197"/>
      <c r="G47" s="205"/>
      <c r="H47" s="207"/>
      <c r="P47" s="12"/>
      <c r="Q47" s="66" t="s">
        <v>42</v>
      </c>
      <c r="R47" s="26">
        <f>0.75*Leech</f>
        <v>0</v>
      </c>
      <c r="S47" s="78"/>
      <c r="T47" s="87"/>
      <c r="U47" s="9"/>
    </row>
    <row r="48" spans="1:21">
      <c r="A48" s="8"/>
      <c r="B48" s="145"/>
      <c r="C48" s="184" t="s">
        <v>115</v>
      </c>
      <c r="F48" s="206"/>
      <c r="G48" s="205"/>
      <c r="H48" s="207"/>
      <c r="P48" s="12"/>
      <c r="Q48" s="66" t="s">
        <v>43</v>
      </c>
      <c r="R48" s="26">
        <f>7*Leech/8</f>
        <v>0</v>
      </c>
      <c r="S48" s="78"/>
      <c r="T48" s="89"/>
      <c r="U48" s="9"/>
    </row>
    <row r="49" spans="1:21">
      <c r="A49" s="8"/>
      <c r="B49" s="145"/>
      <c r="C49" s="193" t="s">
        <v>116</v>
      </c>
      <c r="D49" s="202">
        <f>0.2*LP</f>
        <v>0</v>
      </c>
      <c r="E49" s="203"/>
      <c r="F49" s="206"/>
      <c r="G49" s="205"/>
      <c r="H49" s="207"/>
      <c r="P49" s="12"/>
      <c r="Q49" s="66"/>
      <c r="R49" s="26"/>
      <c r="S49" s="78"/>
      <c r="T49" s="85"/>
      <c r="U49" s="9"/>
    </row>
    <row r="50" spans="1:21">
      <c r="A50" s="8"/>
      <c r="B50" s="145"/>
      <c r="C50" s="201" t="s">
        <v>140</v>
      </c>
      <c r="D50" s="197">
        <f>Neg_LPextAngle_d</f>
        <v>-16</v>
      </c>
      <c r="E50" s="138" t="s">
        <v>14</v>
      </c>
      <c r="F50" s="206"/>
      <c r="G50" s="205"/>
      <c r="H50" s="207"/>
      <c r="P50" s="12"/>
      <c r="Q50" s="66" t="s">
        <v>45</v>
      </c>
      <c r="R50" s="26" t="e">
        <f>180-FA_d-R38</f>
        <v>#DIV/0!</v>
      </c>
      <c r="S50" s="77" t="s">
        <v>14</v>
      </c>
      <c r="T50" s="85"/>
      <c r="U50" s="9"/>
    </row>
    <row r="51" spans="1:21">
      <c r="A51" s="8"/>
      <c r="B51" s="145"/>
      <c r="C51" s="201" t="s">
        <v>141</v>
      </c>
      <c r="D51" s="197">
        <v>5.5</v>
      </c>
      <c r="E51" s="138" t="s">
        <v>14</v>
      </c>
      <c r="F51" s="206"/>
      <c r="G51" s="205"/>
      <c r="H51" s="202"/>
      <c r="P51" s="12"/>
      <c r="Q51" s="66" t="s">
        <v>46</v>
      </c>
      <c r="R51" s="26" t="e">
        <f>ExtLeechAngleatBase_d*PI()/180</f>
        <v>#DIV/0!</v>
      </c>
      <c r="S51" s="77" t="s">
        <v>11</v>
      </c>
      <c r="T51" s="89"/>
      <c r="U51" s="9"/>
    </row>
    <row r="52" spans="1:21">
      <c r="A52" s="8"/>
      <c r="B52" s="145"/>
      <c r="C52" s="193" t="s">
        <v>117</v>
      </c>
      <c r="D52" s="147" t="s">
        <v>118</v>
      </c>
      <c r="E52" s="147" t="s">
        <v>119</v>
      </c>
      <c r="F52" s="208" t="s">
        <v>120</v>
      </c>
      <c r="G52" s="209" t="s">
        <v>26</v>
      </c>
      <c r="H52" s="208" t="s">
        <v>27</v>
      </c>
      <c r="I52" s="194" t="s">
        <v>144</v>
      </c>
      <c r="P52" s="12"/>
      <c r="Q52" s="66"/>
      <c r="R52" s="26"/>
      <c r="S52" s="77"/>
      <c r="T52" s="89"/>
      <c r="U52" s="9"/>
    </row>
    <row r="53" spans="1:21">
      <c r="A53" s="8"/>
      <c r="B53" s="145"/>
      <c r="D53" s="206">
        <f>IF(HUW_Input&gt;0,HUWatLuffx,0)</f>
        <v>0</v>
      </c>
      <c r="E53" s="206">
        <f>IF(HUW_Input&gt;0,HUWatLuffy,0)</f>
        <v>0</v>
      </c>
      <c r="F53" s="99" t="s">
        <v>121</v>
      </c>
      <c r="G53" s="205">
        <f t="shared" ref="G53:G63" si="0">IF(AND(LL&gt;0,LP&gt;0,HHW&gt;0,HTW&gt;0),IF(HUW_Input&gt;0,D$57-arc_radius*COS(RADIANS(I53)),0),0)</f>
        <v>0</v>
      </c>
      <c r="H53" s="205">
        <f t="shared" ref="H53:H63" si="1">IF(AND(LL&gt;0,LP&gt;0,HHW&gt;0,HTW&gt;0),IF(HUW_Input&gt;0,E$57-arc_radius*SIN(RADIANS(I53)),0),0)</f>
        <v>0</v>
      </c>
      <c r="I53" s="212">
        <f>Base_Angle+5*Angle_Step</f>
        <v>11.5</v>
      </c>
      <c r="P53" s="12"/>
      <c r="Q53" s="66" t="s">
        <v>177</v>
      </c>
      <c r="R53" s="26" t="e">
        <f>180-ExtLeechAngleatBase_d</f>
        <v>#DIV/0!</v>
      </c>
      <c r="S53" s="77" t="s">
        <v>14</v>
      </c>
      <c r="T53" s="90"/>
      <c r="U53" s="9"/>
    </row>
    <row r="54" spans="1:21">
      <c r="A54" s="8"/>
      <c r="B54" s="145"/>
      <c r="D54" s="202"/>
      <c r="E54" s="206"/>
      <c r="F54" s="99" t="s">
        <v>122</v>
      </c>
      <c r="G54" s="205">
        <f t="shared" si="0"/>
        <v>0</v>
      </c>
      <c r="H54" s="205">
        <f t="shared" si="1"/>
        <v>0</v>
      </c>
      <c r="I54" s="212">
        <f>Base_Angle+4*Angle_Step</f>
        <v>6</v>
      </c>
      <c r="P54" s="12"/>
      <c r="Q54" s="66" t="s">
        <v>178</v>
      </c>
      <c r="R54" s="26" t="e">
        <f>RADIANS(R53)</f>
        <v>#DIV/0!</v>
      </c>
      <c r="S54" s="77" t="s">
        <v>11</v>
      </c>
      <c r="T54" s="86"/>
      <c r="U54" s="9"/>
    </row>
    <row r="55" spans="1:21">
      <c r="A55" s="8"/>
      <c r="B55" s="145"/>
      <c r="D55" s="202"/>
      <c r="E55" s="206"/>
      <c r="F55" s="99" t="s">
        <v>123</v>
      </c>
      <c r="G55" s="205">
        <f t="shared" si="0"/>
        <v>0</v>
      </c>
      <c r="H55" s="205">
        <f t="shared" si="1"/>
        <v>0</v>
      </c>
      <c r="I55" s="212">
        <f>Base_Angle+3*Angle_Step</f>
        <v>0.5</v>
      </c>
      <c r="P55" s="12"/>
      <c r="Q55" s="66"/>
      <c r="R55" s="26"/>
      <c r="S55" s="77"/>
      <c r="T55" s="90"/>
      <c r="U55" s="9"/>
    </row>
    <row r="56" spans="1:21">
      <c r="A56" s="8"/>
      <c r="B56" s="145"/>
      <c r="D56" s="210" t="s">
        <v>142</v>
      </c>
      <c r="E56" s="210" t="s">
        <v>143</v>
      </c>
      <c r="F56" s="99" t="s">
        <v>124</v>
      </c>
      <c r="G56" s="205">
        <f t="shared" si="0"/>
        <v>0</v>
      </c>
      <c r="H56" s="205">
        <f t="shared" si="1"/>
        <v>0</v>
      </c>
      <c r="I56" s="212">
        <f>Base_Angle+2*Angle_Step</f>
        <v>-5</v>
      </c>
      <c r="P56" s="12"/>
      <c r="Q56" s="66" t="s">
        <v>179</v>
      </c>
      <c r="R56" s="26" t="e">
        <f>SLA_r-RADIANS(90)</f>
        <v>#DIV/0!</v>
      </c>
      <c r="S56" s="77" t="s">
        <v>11</v>
      </c>
      <c r="T56" s="86"/>
      <c r="U56" s="9"/>
    </row>
    <row r="57" spans="1:21">
      <c r="A57" s="8"/>
      <c r="B57" s="145"/>
      <c r="D57" s="211">
        <f>IF(HUW_Input&gt;0,D53+arc_radius*COS(RADIANS(Base_Angle)),0)</f>
        <v>0</v>
      </c>
      <c r="E57" s="211">
        <f>IF(HUW_Input&gt;0,E53+arc_radius*SIN(RADIANS(Base_Angle)),0)</f>
        <v>0</v>
      </c>
      <c r="F57" s="147" t="s">
        <v>125</v>
      </c>
      <c r="G57" s="205">
        <f t="shared" si="0"/>
        <v>0</v>
      </c>
      <c r="H57" s="205">
        <f t="shared" si="1"/>
        <v>0</v>
      </c>
      <c r="I57" s="212">
        <f>Base_Angle+1*Angle_Step</f>
        <v>-10.5</v>
      </c>
      <c r="P57" s="12"/>
      <c r="Q57" s="66"/>
      <c r="R57" s="26"/>
      <c r="S57" s="78"/>
      <c r="T57" s="86"/>
      <c r="U57" s="9"/>
    </row>
    <row r="58" spans="1:21">
      <c r="A58" s="8"/>
      <c r="B58" s="145"/>
      <c r="D58" s="99"/>
      <c r="E58" s="206"/>
      <c r="F58" s="147" t="s">
        <v>126</v>
      </c>
      <c r="G58" s="205">
        <f t="shared" si="0"/>
        <v>0</v>
      </c>
      <c r="H58" s="205">
        <f t="shared" si="1"/>
        <v>0</v>
      </c>
      <c r="I58" s="212">
        <f>Base_Angle+0*Angle_Step</f>
        <v>-16</v>
      </c>
      <c r="P58" s="12"/>
      <c r="Q58" s="66" t="s">
        <v>47</v>
      </c>
      <c r="R58" s="26" t="e">
        <f>CH/SIN(ExtLeechAngleatBase_r)</f>
        <v>#DIV/0!</v>
      </c>
      <c r="S58" s="78"/>
      <c r="T58" s="86"/>
      <c r="U58" s="9"/>
    </row>
    <row r="59" spans="1:21">
      <c r="A59" s="8"/>
      <c r="B59" s="145"/>
      <c r="D59" s="99"/>
      <c r="E59" s="206"/>
      <c r="F59" s="147" t="s">
        <v>125</v>
      </c>
      <c r="G59" s="205">
        <f t="shared" si="0"/>
        <v>0</v>
      </c>
      <c r="H59" s="205">
        <f t="shared" si="1"/>
        <v>0</v>
      </c>
      <c r="I59" s="212">
        <f>Base_Angle-1*Angle_Step</f>
        <v>-21.5</v>
      </c>
      <c r="P59" s="12"/>
      <c r="Q59" s="66" t="s">
        <v>48</v>
      </c>
      <c r="R59" s="26" t="e">
        <f>SQRT(ExtLeech^2-CH^2)</f>
        <v>#DIV/0!</v>
      </c>
      <c r="S59" s="77"/>
      <c r="T59" s="86"/>
      <c r="U59" s="9"/>
    </row>
    <row r="60" spans="1:21">
      <c r="A60" s="8"/>
      <c r="B60" s="145"/>
      <c r="D60" s="99"/>
      <c r="E60" s="206"/>
      <c r="F60" s="99" t="s">
        <v>124</v>
      </c>
      <c r="G60" s="205">
        <f t="shared" si="0"/>
        <v>0</v>
      </c>
      <c r="H60" s="205">
        <f t="shared" si="1"/>
        <v>0</v>
      </c>
      <c r="I60" s="212">
        <f>Base_Angle-2*Angle_Step</f>
        <v>-27</v>
      </c>
      <c r="P60" s="12"/>
      <c r="Q60" s="69" t="s">
        <v>49</v>
      </c>
      <c r="R60" s="26" t="e">
        <f>Clew_x-ExtLeechBase</f>
        <v>#DIV/0!</v>
      </c>
      <c r="S60" s="78"/>
      <c r="T60" s="86"/>
      <c r="U60" s="9"/>
    </row>
    <row r="61" spans="1:21">
      <c r="A61" s="8"/>
      <c r="B61" s="145"/>
      <c r="C61" s="99"/>
      <c r="D61" s="99"/>
      <c r="E61" s="206"/>
      <c r="F61" s="99" t="s">
        <v>123</v>
      </c>
      <c r="G61" s="205">
        <f t="shared" si="0"/>
        <v>0</v>
      </c>
      <c r="H61" s="205">
        <f t="shared" si="1"/>
        <v>0</v>
      </c>
      <c r="I61" s="212">
        <f>Base_Angle-3*Angle_Step</f>
        <v>-32.5</v>
      </c>
      <c r="P61" s="12"/>
      <c r="Q61" s="70"/>
      <c r="R61" s="33"/>
      <c r="S61" s="78"/>
      <c r="T61" s="87"/>
      <c r="U61" s="9"/>
    </row>
    <row r="62" spans="1:21">
      <c r="A62" s="8"/>
      <c r="B62" s="145"/>
      <c r="C62" s="192"/>
      <c r="D62" s="206"/>
      <c r="E62" s="206"/>
      <c r="F62" s="99" t="s">
        <v>122</v>
      </c>
      <c r="G62" s="205">
        <f t="shared" si="0"/>
        <v>0</v>
      </c>
      <c r="H62" s="205">
        <f t="shared" si="1"/>
        <v>0</v>
      </c>
      <c r="I62" s="212">
        <f>Base_Angle-4*Angle_Step</f>
        <v>-38</v>
      </c>
      <c r="P62" s="12"/>
      <c r="Q62" s="71" t="s">
        <v>50</v>
      </c>
      <c r="R62" s="22"/>
      <c r="S62" s="72"/>
      <c r="T62" s="87"/>
      <c r="U62" s="9"/>
    </row>
    <row r="63" spans="1:21">
      <c r="B63" s="145"/>
      <c r="C63" s="192"/>
      <c r="D63" s="206"/>
      <c r="E63" s="206"/>
      <c r="F63" s="99" t="s">
        <v>121</v>
      </c>
      <c r="G63" s="205">
        <f t="shared" si="0"/>
        <v>0</v>
      </c>
      <c r="H63" s="205">
        <f t="shared" si="1"/>
        <v>0</v>
      </c>
      <c r="I63" s="212">
        <f>Base_Angle-5*Angle_Step</f>
        <v>-43.5</v>
      </c>
      <c r="P63" s="12"/>
      <c r="Q63" s="69" t="s">
        <v>51</v>
      </c>
      <c r="R63" s="26" t="e">
        <f>Qtr_Leech+ExtLeech</f>
        <v>#DIV/0!</v>
      </c>
      <c r="S63" s="76"/>
      <c r="T63" s="87"/>
      <c r="U63" s="9"/>
    </row>
    <row r="64" spans="1:21">
      <c r="B64" s="145"/>
      <c r="C64" s="193"/>
      <c r="D64" s="206"/>
      <c r="E64" s="206"/>
      <c r="F64" s="202"/>
      <c r="G64" s="202"/>
      <c r="H64" s="202"/>
      <c r="I64" s="213"/>
      <c r="P64" s="12"/>
      <c r="Q64" s="69" t="s">
        <v>52</v>
      </c>
      <c r="R64" s="26" t="e">
        <f>COS(ExtLeechAngleatBase_r)*HLWextLeech</f>
        <v>#DIV/0!</v>
      </c>
      <c r="S64" s="76"/>
      <c r="T64" s="87"/>
      <c r="U64" s="9"/>
    </row>
    <row r="65" spans="2:21">
      <c r="B65" s="145"/>
      <c r="C65" s="193" t="s">
        <v>127</v>
      </c>
      <c r="D65" s="147" t="s">
        <v>118</v>
      </c>
      <c r="E65" s="147" t="s">
        <v>119</v>
      </c>
      <c r="F65" s="208" t="s">
        <v>120</v>
      </c>
      <c r="G65" s="209" t="s">
        <v>26</v>
      </c>
      <c r="H65" s="208" t="s">
        <v>27</v>
      </c>
      <c r="I65" s="214" t="s">
        <v>144</v>
      </c>
      <c r="P65" s="12"/>
      <c r="Q65" s="69" t="s">
        <v>53</v>
      </c>
      <c r="R65" s="26" t="e">
        <f>SQRT(HLWextLeech^2-BaseforHLWx^2)</f>
        <v>#DIV/0!</v>
      </c>
      <c r="S65" s="72"/>
      <c r="T65" s="87"/>
      <c r="U65" s="9"/>
    </row>
    <row r="66" spans="2:21">
      <c r="B66" s="145"/>
      <c r="D66" s="206">
        <f>HTWatLuffx</f>
        <v>0</v>
      </c>
      <c r="E66" s="206">
        <f>HTWatLuffy</f>
        <v>0</v>
      </c>
      <c r="F66" s="99" t="s">
        <v>121</v>
      </c>
      <c r="G66" s="205">
        <f t="shared" ref="G66:G76" si="2">IF(AND(LL&gt;0,LP&gt;0,HHW&gt;0,HTW&gt;0),D$70-arc_radius*COS(RADIANS(I66)),0)</f>
        <v>0</v>
      </c>
      <c r="H66" s="205">
        <f t="shared" ref="H66:H76" si="3">IF(AND(LL&gt;0,LP&gt;0,HHW&gt;0,HTW&gt;0),E$70-arc_radius*SIN(RADIANS(I66)),0)</f>
        <v>0</v>
      </c>
      <c r="I66" s="212">
        <f>Base_Angle+5*Angle_Step</f>
        <v>11.5</v>
      </c>
      <c r="P66" s="12"/>
      <c r="Q66" s="66" t="s">
        <v>54</v>
      </c>
      <c r="R66" s="26" t="e">
        <f>ExtLeechatBasex-BaseforHLWx</f>
        <v>#DIV/0!</v>
      </c>
      <c r="S66" s="72"/>
      <c r="T66" s="87"/>
      <c r="U66" s="9"/>
    </row>
    <row r="67" spans="2:21">
      <c r="B67" s="16"/>
      <c r="D67" s="202"/>
      <c r="E67" s="206"/>
      <c r="F67" s="99" t="s">
        <v>122</v>
      </c>
      <c r="G67" s="205">
        <f t="shared" si="2"/>
        <v>0</v>
      </c>
      <c r="H67" s="205">
        <f t="shared" si="3"/>
        <v>0</v>
      </c>
      <c r="I67" s="212">
        <f>Base_Angle+4*Angle_Step</f>
        <v>6</v>
      </c>
      <c r="P67" s="12"/>
      <c r="Q67" s="67"/>
      <c r="R67" s="22"/>
      <c r="S67" s="80"/>
      <c r="T67" s="91"/>
      <c r="U67" s="9"/>
    </row>
    <row r="68" spans="2:21">
      <c r="D68" s="202"/>
      <c r="E68" s="206"/>
      <c r="F68" s="99" t="s">
        <v>123</v>
      </c>
      <c r="G68" s="205">
        <f t="shared" si="2"/>
        <v>0</v>
      </c>
      <c r="H68" s="205">
        <f t="shared" si="3"/>
        <v>0</v>
      </c>
      <c r="I68" s="212">
        <f>Base_Angle+3*Angle_Step</f>
        <v>0.5</v>
      </c>
      <c r="P68" s="8"/>
      <c r="Q68" s="71" t="s">
        <v>55</v>
      </c>
      <c r="R68" s="26"/>
      <c r="S68" s="77"/>
      <c r="T68" s="91"/>
      <c r="U68" s="9"/>
    </row>
    <row r="69" spans="2:21">
      <c r="D69" s="210" t="s">
        <v>142</v>
      </c>
      <c r="E69" s="210" t="s">
        <v>143</v>
      </c>
      <c r="F69" s="99" t="s">
        <v>124</v>
      </c>
      <c r="G69" s="205">
        <f t="shared" si="2"/>
        <v>0</v>
      </c>
      <c r="H69" s="205">
        <f t="shared" si="3"/>
        <v>0</v>
      </c>
      <c r="I69" s="212">
        <f>Base_Angle+2*Angle_Step</f>
        <v>-5</v>
      </c>
      <c r="P69" s="8"/>
      <c r="Q69" s="69" t="s">
        <v>56</v>
      </c>
      <c r="R69" s="26" t="e">
        <f>Half_Leech+ExtLeech</f>
        <v>#DIV/0!</v>
      </c>
      <c r="S69" s="80"/>
      <c r="T69" s="85"/>
      <c r="U69" s="9"/>
    </row>
    <row r="70" spans="2:21">
      <c r="D70" s="211">
        <f>D66+arc_radius*COS(RADIANS(Base_Angle))</f>
        <v>0</v>
      </c>
      <c r="E70" s="211">
        <f>E66+arc_radius*SIN(RADIANS(Base_Angle))</f>
        <v>0</v>
      </c>
      <c r="F70" s="147" t="s">
        <v>125</v>
      </c>
      <c r="G70" s="205">
        <f t="shared" si="2"/>
        <v>0</v>
      </c>
      <c r="H70" s="205">
        <f t="shared" si="3"/>
        <v>0</v>
      </c>
      <c r="I70" s="212">
        <f>Base_Angle+1*Angle_Step</f>
        <v>-10.5</v>
      </c>
      <c r="P70" s="8"/>
      <c r="Q70" s="69" t="s">
        <v>58</v>
      </c>
      <c r="R70" s="26" t="e">
        <f>COS(ExtLeechAngleatBase_r)*HHWextLeech</f>
        <v>#DIV/0!</v>
      </c>
      <c r="S70" s="77"/>
      <c r="T70" s="91"/>
      <c r="U70" s="9"/>
    </row>
    <row r="71" spans="2:21">
      <c r="D71" s="99"/>
      <c r="E71" s="206"/>
      <c r="F71" s="147" t="s">
        <v>126</v>
      </c>
      <c r="G71" s="205">
        <f t="shared" si="2"/>
        <v>0</v>
      </c>
      <c r="H71" s="205">
        <f t="shared" si="3"/>
        <v>0</v>
      </c>
      <c r="I71" s="212">
        <f>Base_Angle+0*Angle_Step</f>
        <v>-16</v>
      </c>
      <c r="P71" s="8"/>
      <c r="Q71" s="69" t="s">
        <v>60</v>
      </c>
      <c r="R71" s="26" t="e">
        <f>SQRT(HHWextLeech^2-BaseforHHWx^2)</f>
        <v>#DIV/0!</v>
      </c>
      <c r="S71" s="77"/>
      <c r="T71" s="91"/>
      <c r="U71" s="9"/>
    </row>
    <row r="72" spans="2:21">
      <c r="D72" s="99"/>
      <c r="E72" s="206"/>
      <c r="F72" s="147" t="s">
        <v>125</v>
      </c>
      <c r="G72" s="205">
        <f t="shared" si="2"/>
        <v>0</v>
      </c>
      <c r="H72" s="205">
        <f t="shared" si="3"/>
        <v>0</v>
      </c>
      <c r="I72" s="212">
        <f>Base_Angle-1*Angle_Step</f>
        <v>-21.5</v>
      </c>
      <c r="J72" s="7"/>
      <c r="K72" s="7"/>
      <c r="L72" s="7"/>
      <c r="M72" s="7"/>
      <c r="N72" s="7"/>
      <c r="O72" s="7"/>
      <c r="P72" s="8"/>
      <c r="Q72" s="66" t="s">
        <v>62</v>
      </c>
      <c r="R72" s="26" t="e">
        <f>ExtLeechatBasex-BaseforHHWx</f>
        <v>#DIV/0!</v>
      </c>
      <c r="S72" s="77"/>
      <c r="T72" s="91"/>
      <c r="U72" s="9"/>
    </row>
    <row r="73" spans="2:21">
      <c r="D73" s="99"/>
      <c r="E73" s="206"/>
      <c r="F73" s="99" t="s">
        <v>124</v>
      </c>
      <c r="G73" s="205">
        <f t="shared" si="2"/>
        <v>0</v>
      </c>
      <c r="H73" s="205">
        <f t="shared" si="3"/>
        <v>0</v>
      </c>
      <c r="I73" s="212">
        <f>Base_Angle-2*Angle_Step</f>
        <v>-27</v>
      </c>
      <c r="J73" s="145"/>
      <c r="K73" s="145"/>
      <c r="L73" s="145"/>
      <c r="M73" s="145"/>
      <c r="N73" s="145"/>
      <c r="O73" s="145"/>
      <c r="P73" s="8"/>
      <c r="Q73" s="69"/>
      <c r="R73" s="26"/>
      <c r="S73" s="77"/>
      <c r="T73" s="89"/>
      <c r="U73" s="9"/>
    </row>
    <row r="74" spans="2:21">
      <c r="C74" s="99"/>
      <c r="D74" s="99"/>
      <c r="E74" s="206"/>
      <c r="F74" s="99" t="s">
        <v>123</v>
      </c>
      <c r="G74" s="205">
        <f t="shared" si="2"/>
        <v>0</v>
      </c>
      <c r="H74" s="205">
        <f t="shared" si="3"/>
        <v>0</v>
      </c>
      <c r="I74" s="212">
        <f>Base_Angle-3*Angle_Step</f>
        <v>-32.5</v>
      </c>
      <c r="J74" s="148"/>
      <c r="K74" s="148"/>
      <c r="L74" s="148"/>
      <c r="M74" s="145"/>
      <c r="N74" s="311"/>
      <c r="O74" s="312"/>
      <c r="P74" s="8"/>
      <c r="Q74" s="71" t="s">
        <v>63</v>
      </c>
      <c r="R74" s="26"/>
      <c r="S74" s="77"/>
      <c r="T74" s="89"/>
      <c r="U74" s="9"/>
    </row>
    <row r="75" spans="2:21">
      <c r="C75" s="192"/>
      <c r="D75" s="206"/>
      <c r="E75" s="206"/>
      <c r="F75" s="99" t="s">
        <v>122</v>
      </c>
      <c r="G75" s="205">
        <f t="shared" si="2"/>
        <v>0</v>
      </c>
      <c r="H75" s="205">
        <f t="shared" si="3"/>
        <v>0</v>
      </c>
      <c r="I75" s="212">
        <f>Base_Angle-4*Angle_Step</f>
        <v>-38</v>
      </c>
      <c r="J75" s="150"/>
      <c r="K75" s="99"/>
      <c r="L75" s="148"/>
      <c r="M75" s="145"/>
      <c r="N75" s="148"/>
      <c r="O75" s="148"/>
      <c r="P75" s="8"/>
      <c r="Q75" s="69" t="s">
        <v>64</v>
      </c>
      <c r="R75" s="26" t="e">
        <f>ExtLeech+Half_Leech+Qtr_Leech</f>
        <v>#DIV/0!</v>
      </c>
      <c r="S75" s="78"/>
      <c r="T75" s="89"/>
      <c r="U75" s="9"/>
    </row>
    <row r="76" spans="2:21">
      <c r="C76" s="192"/>
      <c r="D76" s="206"/>
      <c r="E76" s="206"/>
      <c r="F76" s="99" t="s">
        <v>121</v>
      </c>
      <c r="G76" s="205">
        <f t="shared" si="2"/>
        <v>0</v>
      </c>
      <c r="H76" s="205">
        <f t="shared" si="3"/>
        <v>0</v>
      </c>
      <c r="I76" s="212">
        <f>Base_Angle-5*Angle_Step</f>
        <v>-43.5</v>
      </c>
      <c r="J76" s="150"/>
      <c r="K76" s="99"/>
      <c r="L76" s="148"/>
      <c r="M76" s="148"/>
      <c r="N76" s="99"/>
      <c r="O76" s="99"/>
      <c r="P76" s="8"/>
      <c r="Q76" s="69" t="s">
        <v>65</v>
      </c>
      <c r="R76" s="26" t="e">
        <f>COS(ExtLeechAngleatBase_r)*HTWextLeech</f>
        <v>#DIV/0!</v>
      </c>
      <c r="S76" s="78"/>
      <c r="T76" s="91"/>
      <c r="U76" s="9"/>
    </row>
    <row r="77" spans="2:21">
      <c r="C77" s="193"/>
      <c r="D77" s="206"/>
      <c r="E77" s="206"/>
      <c r="F77" s="202"/>
      <c r="G77" s="202"/>
      <c r="H77" s="202"/>
      <c r="I77" s="213"/>
      <c r="J77" s="150"/>
      <c r="K77" s="150"/>
      <c r="L77" s="148"/>
      <c r="M77" s="148"/>
      <c r="N77" s="99"/>
      <c r="O77" s="99"/>
      <c r="Q77" s="69" t="s">
        <v>66</v>
      </c>
      <c r="R77" s="26" t="e">
        <f>SQRT(HTWextLeech^2-BaseforHTWx^2)</f>
        <v>#DIV/0!</v>
      </c>
      <c r="S77" s="78"/>
      <c r="T77" s="93"/>
      <c r="U77" s="9"/>
    </row>
    <row r="78" spans="2:21">
      <c r="C78" s="193" t="s">
        <v>128</v>
      </c>
      <c r="D78" s="147" t="s">
        <v>118</v>
      </c>
      <c r="E78" s="147" t="s">
        <v>119</v>
      </c>
      <c r="F78" s="208" t="s">
        <v>120</v>
      </c>
      <c r="G78" s="209" t="s">
        <v>26</v>
      </c>
      <c r="H78" s="208" t="s">
        <v>27</v>
      </c>
      <c r="I78" s="214" t="s">
        <v>144</v>
      </c>
      <c r="J78" s="150"/>
      <c r="K78" s="150"/>
      <c r="L78" s="148"/>
      <c r="M78" s="148"/>
      <c r="N78" s="99"/>
      <c r="O78" s="99"/>
      <c r="Q78" s="66" t="s">
        <v>67</v>
      </c>
      <c r="R78" s="26" t="e">
        <f>ExtLeechatBasex-BaseforHTWx</f>
        <v>#DIV/0!</v>
      </c>
      <c r="S78" s="78"/>
      <c r="T78" s="94"/>
      <c r="U78" s="9"/>
    </row>
    <row r="79" spans="2:21">
      <c r="D79" s="206">
        <f>HHWatLuffx</f>
        <v>0</v>
      </c>
      <c r="E79" s="206">
        <f>HHWatLuffy</f>
        <v>0</v>
      </c>
      <c r="F79" s="99" t="s">
        <v>121</v>
      </c>
      <c r="G79" s="205">
        <f t="shared" ref="G79:G89" si="4">IF(AND(LL&gt;0,LP&gt;0,HHW&gt;0,HTW&gt;0),D$83-arc_radius*COS(RADIANS(I79)),0)</f>
        <v>0</v>
      </c>
      <c r="H79" s="205">
        <f t="shared" ref="H79:H89" si="5">IF(AND(LL&gt;0,LP&gt;0,HHW&gt;0,HTW&gt;0),E$83-arc_radius*SIN(RADIANS(I79)),0)</f>
        <v>0</v>
      </c>
      <c r="I79" s="212">
        <f>Base_Angle+5*Angle_Step</f>
        <v>11.5</v>
      </c>
      <c r="J79" s="150"/>
      <c r="K79" s="150"/>
      <c r="L79" s="148"/>
      <c r="M79" s="145"/>
      <c r="N79" s="145"/>
      <c r="O79" s="145"/>
      <c r="Q79" s="66"/>
      <c r="R79" s="28"/>
      <c r="S79" s="78"/>
      <c r="T79" s="94"/>
      <c r="U79" s="9"/>
    </row>
    <row r="80" spans="2:21">
      <c r="D80" s="202"/>
      <c r="E80" s="206"/>
      <c r="F80" s="99" t="s">
        <v>122</v>
      </c>
      <c r="G80" s="205">
        <f t="shared" si="4"/>
        <v>0</v>
      </c>
      <c r="H80" s="205">
        <f t="shared" si="5"/>
        <v>0</v>
      </c>
      <c r="I80" s="212">
        <f>Base_Angle+4*Angle_Step</f>
        <v>6</v>
      </c>
      <c r="J80" s="150"/>
      <c r="K80" s="150"/>
      <c r="L80" s="151"/>
      <c r="M80" s="145"/>
      <c r="N80" s="311"/>
      <c r="O80" s="312"/>
      <c r="Q80" s="71" t="s">
        <v>68</v>
      </c>
      <c r="R80" s="26"/>
      <c r="S80" s="78"/>
      <c r="T80" s="94"/>
      <c r="U80" s="9"/>
    </row>
    <row r="81" spans="3:21">
      <c r="D81" s="202"/>
      <c r="E81" s="206"/>
      <c r="F81" s="99" t="s">
        <v>123</v>
      </c>
      <c r="G81" s="205">
        <f t="shared" si="4"/>
        <v>0</v>
      </c>
      <c r="H81" s="205">
        <f t="shared" si="5"/>
        <v>0</v>
      </c>
      <c r="I81" s="212">
        <f>Base_Angle+3*Angle_Step</f>
        <v>0.5</v>
      </c>
      <c r="J81" s="150"/>
      <c r="K81" s="150"/>
      <c r="L81" s="151"/>
      <c r="M81" s="145"/>
      <c r="N81" s="99"/>
      <c r="O81" s="99"/>
      <c r="Q81" s="69" t="s">
        <v>69</v>
      </c>
      <c r="R81" s="26" t="e">
        <f>ExtLeech+Half_Leech+Qtr_Leech+Eight_Leech</f>
        <v>#DIV/0!</v>
      </c>
      <c r="S81" s="81"/>
      <c r="T81" s="94"/>
      <c r="U81" s="9"/>
    </row>
    <row r="82" spans="3:21">
      <c r="D82" s="210" t="s">
        <v>142</v>
      </c>
      <c r="E82" s="210" t="s">
        <v>143</v>
      </c>
      <c r="F82" s="99" t="s">
        <v>124</v>
      </c>
      <c r="G82" s="205">
        <f t="shared" si="4"/>
        <v>0</v>
      </c>
      <c r="H82" s="205">
        <f t="shared" si="5"/>
        <v>0</v>
      </c>
      <c r="I82" s="212">
        <f>Base_Angle+2*Angle_Step</f>
        <v>-5</v>
      </c>
      <c r="J82" s="99"/>
      <c r="K82" s="99"/>
      <c r="L82" s="148"/>
      <c r="M82" s="148"/>
      <c r="N82" s="99"/>
      <c r="O82" s="99"/>
      <c r="Q82" s="69" t="s">
        <v>70</v>
      </c>
      <c r="R82" s="26" t="e">
        <f>COS(ExtLeechAngleatBase_r)*HUWextLeech</f>
        <v>#DIV/0!</v>
      </c>
      <c r="S82" s="81"/>
      <c r="T82" s="94"/>
      <c r="U82" s="9"/>
    </row>
    <row r="83" spans="3:21">
      <c r="D83" s="211">
        <f>D79+arc_radius*COS(RADIANS(Base_Angle))</f>
        <v>0</v>
      </c>
      <c r="E83" s="211">
        <f>E79+arc_radius*SIN(RADIANS(Base_Angle))</f>
        <v>0</v>
      </c>
      <c r="F83" s="147" t="s">
        <v>125</v>
      </c>
      <c r="G83" s="205">
        <f t="shared" si="4"/>
        <v>0</v>
      </c>
      <c r="H83" s="205">
        <f t="shared" si="5"/>
        <v>0</v>
      </c>
      <c r="I83" s="212">
        <f>Base_Angle+1*Angle_Step</f>
        <v>-10.5</v>
      </c>
      <c r="J83" s="99"/>
      <c r="K83" s="150"/>
      <c r="L83" s="96"/>
      <c r="M83" s="148"/>
      <c r="N83" s="99"/>
      <c r="O83" s="99"/>
      <c r="Q83" s="69" t="s">
        <v>71</v>
      </c>
      <c r="R83" s="26" t="e">
        <f>SQRT(HUWextLeech^2-BaseforHUWx^2)</f>
        <v>#DIV/0!</v>
      </c>
      <c r="S83" s="76"/>
      <c r="T83" s="94"/>
      <c r="U83" s="9"/>
    </row>
    <row r="84" spans="3:21">
      <c r="D84" s="99"/>
      <c r="E84" s="206"/>
      <c r="F84" s="147" t="s">
        <v>126</v>
      </c>
      <c r="G84" s="205">
        <f t="shared" si="4"/>
        <v>0</v>
      </c>
      <c r="H84" s="205">
        <f t="shared" si="5"/>
        <v>0</v>
      </c>
      <c r="I84" s="212">
        <f>Base_Angle+0*Angle_Step</f>
        <v>-16</v>
      </c>
      <c r="J84" s="99"/>
      <c r="K84" s="150"/>
      <c r="L84" s="96"/>
      <c r="M84" s="96"/>
      <c r="N84" s="99"/>
      <c r="O84" s="99"/>
      <c r="Q84" s="66" t="s">
        <v>72</v>
      </c>
      <c r="R84" s="26" t="e">
        <f>ExtLeechatBasex-BaseforHUWx</f>
        <v>#DIV/0!</v>
      </c>
      <c r="S84" s="81"/>
      <c r="T84" s="94"/>
      <c r="U84" s="9"/>
    </row>
    <row r="85" spans="3:21">
      <c r="D85" s="99"/>
      <c r="E85" s="206"/>
      <c r="F85" s="147" t="s">
        <v>125</v>
      </c>
      <c r="G85" s="205">
        <f t="shared" si="4"/>
        <v>0</v>
      </c>
      <c r="H85" s="205">
        <f t="shared" si="5"/>
        <v>0</v>
      </c>
      <c r="I85" s="212">
        <f>Base_Angle-1*Angle_Step</f>
        <v>-21.5</v>
      </c>
      <c r="J85" s="99"/>
      <c r="K85" s="150"/>
      <c r="L85" s="148"/>
      <c r="M85" s="96"/>
      <c r="N85" s="96"/>
      <c r="O85" s="96"/>
      <c r="Q85" s="67"/>
      <c r="R85" s="22"/>
      <c r="S85" s="81"/>
      <c r="T85" s="94"/>
      <c r="U85" s="9"/>
    </row>
    <row r="86" spans="3:21">
      <c r="D86" s="99"/>
      <c r="E86" s="206"/>
      <c r="F86" s="99" t="s">
        <v>124</v>
      </c>
      <c r="G86" s="205">
        <f t="shared" si="4"/>
        <v>0</v>
      </c>
      <c r="H86" s="205">
        <f t="shared" si="5"/>
        <v>0</v>
      </c>
      <c r="I86" s="212">
        <f>Base_Angle-2*Angle_Step</f>
        <v>-27</v>
      </c>
      <c r="J86" s="99"/>
      <c r="K86" s="150"/>
      <c r="L86" s="151"/>
      <c r="M86" s="145"/>
      <c r="N86" s="311"/>
      <c r="O86" s="312"/>
      <c r="Q86" s="71" t="s">
        <v>73</v>
      </c>
      <c r="R86" s="26"/>
      <c r="S86" s="81"/>
      <c r="T86" s="94"/>
      <c r="U86" s="9"/>
    </row>
    <row r="87" spans="3:21">
      <c r="C87" s="99"/>
      <c r="D87" s="99"/>
      <c r="E87" s="206"/>
      <c r="F87" s="99" t="s">
        <v>123</v>
      </c>
      <c r="G87" s="205">
        <f t="shared" si="4"/>
        <v>0</v>
      </c>
      <c r="H87" s="205">
        <f t="shared" si="5"/>
        <v>0</v>
      </c>
      <c r="I87" s="212">
        <f>Base_Angle-3*Angle_Step</f>
        <v>-32.5</v>
      </c>
      <c r="J87" s="150"/>
      <c r="K87" s="150"/>
      <c r="L87" s="151"/>
      <c r="M87" s="145"/>
      <c r="N87" s="148"/>
      <c r="O87" s="148"/>
      <c r="Q87" s="69" t="s">
        <v>74</v>
      </c>
      <c r="R87" s="26">
        <f>SQRT(Qtr_Leech^2-(LP-HLW)^2)</f>
        <v>0</v>
      </c>
      <c r="S87" s="72"/>
      <c r="T87" s="94"/>
      <c r="U87" s="9"/>
    </row>
    <row r="88" spans="3:21">
      <c r="C88" s="192"/>
      <c r="D88" s="206"/>
      <c r="E88" s="206"/>
      <c r="F88" s="99" t="s">
        <v>122</v>
      </c>
      <c r="G88" s="205">
        <f t="shared" si="4"/>
        <v>0</v>
      </c>
      <c r="H88" s="205">
        <f t="shared" si="5"/>
        <v>0</v>
      </c>
      <c r="I88" s="212">
        <f>Base_Angle-4*Angle_Step</f>
        <v>-38</v>
      </c>
      <c r="J88" s="150"/>
      <c r="K88" s="99"/>
      <c r="L88" s="151"/>
      <c r="M88" s="148"/>
      <c r="N88" s="99"/>
      <c r="O88" s="99"/>
      <c r="Q88" s="69" t="s">
        <v>75</v>
      </c>
      <c r="R88" s="26">
        <f>SQRT(Half_Leech^2-(LP-HHW)^2)</f>
        <v>0</v>
      </c>
      <c r="S88" s="72"/>
      <c r="T88" s="94"/>
      <c r="U88" s="9"/>
    </row>
    <row r="89" spans="3:21">
      <c r="C89" s="192"/>
      <c r="D89" s="206"/>
      <c r="E89" s="206"/>
      <c r="F89" s="99" t="s">
        <v>121</v>
      </c>
      <c r="G89" s="205">
        <f t="shared" si="4"/>
        <v>0</v>
      </c>
      <c r="H89" s="205">
        <f t="shared" si="5"/>
        <v>0</v>
      </c>
      <c r="I89" s="212">
        <f>Base_Angle-5*Angle_Step</f>
        <v>-43.5</v>
      </c>
      <c r="J89" s="150"/>
      <c r="K89" s="99"/>
      <c r="L89" s="151"/>
      <c r="M89" s="96"/>
      <c r="N89" s="99"/>
      <c r="O89" s="99"/>
      <c r="Q89" s="69" t="s">
        <v>76</v>
      </c>
      <c r="R89" s="26">
        <f>SQRT(ThreeQtr_Leech_Distance^2-(LP-HTW)^2)</f>
        <v>0</v>
      </c>
      <c r="S89" s="72"/>
      <c r="T89" s="94"/>
      <c r="U89" s="9"/>
    </row>
    <row r="90" spans="3:21">
      <c r="C90" s="193"/>
      <c r="D90" s="206"/>
      <c r="E90" s="206"/>
      <c r="F90" s="202"/>
      <c r="G90" s="202"/>
      <c r="H90" s="202"/>
      <c r="I90" s="215"/>
      <c r="J90" s="99"/>
      <c r="K90" s="99"/>
      <c r="L90" s="151"/>
      <c r="M90" s="148"/>
      <c r="N90" s="99"/>
      <c r="O90" s="99"/>
      <c r="Q90" s="73" t="s">
        <v>77</v>
      </c>
      <c r="R90" s="74">
        <f>SQRT(SevenEight_Leech_Distance^2-(LP-HUW)^2)</f>
        <v>0</v>
      </c>
      <c r="S90" s="82"/>
      <c r="T90" s="94"/>
      <c r="U90" s="9"/>
    </row>
    <row r="91" spans="3:21">
      <c r="C91" s="193" t="s">
        <v>129</v>
      </c>
      <c r="D91" s="147" t="s">
        <v>118</v>
      </c>
      <c r="E91" s="147" t="s">
        <v>119</v>
      </c>
      <c r="F91" s="208" t="s">
        <v>120</v>
      </c>
      <c r="G91" s="209" t="s">
        <v>26</v>
      </c>
      <c r="H91" s="208" t="s">
        <v>27</v>
      </c>
      <c r="I91" s="214" t="s">
        <v>144</v>
      </c>
      <c r="J91" s="99"/>
      <c r="K91" s="99"/>
      <c r="L91" s="151"/>
      <c r="M91" s="96"/>
      <c r="N91" s="99"/>
      <c r="O91" s="99"/>
      <c r="Q91" s="16"/>
      <c r="R91" s="16"/>
      <c r="S91" s="83"/>
      <c r="T91" s="94"/>
      <c r="U91" s="9"/>
    </row>
    <row r="92" spans="3:21">
      <c r="D92" s="206">
        <f>IF(HLW_Input&gt;0,HLWatLuffx,0)</f>
        <v>0</v>
      </c>
      <c r="E92" s="206">
        <f>IF(HLW_Input&gt;0,HLWatLuffy,0)</f>
        <v>0</v>
      </c>
      <c r="F92" s="99" t="s">
        <v>121</v>
      </c>
      <c r="G92" s="205">
        <f t="shared" ref="G92:G102" si="6">IF(AND(LL&gt;0,LP&gt;0,HHW&gt;0,HTW&gt;0),IF(HLW_Input&gt;0,D$96-arc_radius*COS(RADIANS(I92)),0),0)</f>
        <v>0</v>
      </c>
      <c r="H92" s="205">
        <f t="shared" ref="H92:H102" si="7">IF(AND(LL&gt;0,LP&gt;0,HHW&gt;0,HTW&gt;0),IF(HLW_Input&gt;0,E$96-arc_radius*SIN(RADIANS(I92)),0),0)</f>
        <v>0</v>
      </c>
      <c r="I92" s="212">
        <f>Base_Angle+5*Angle_Step</f>
        <v>11.5</v>
      </c>
      <c r="J92" s="99"/>
      <c r="K92" s="99"/>
      <c r="L92" s="151"/>
      <c r="M92" s="96"/>
      <c r="N92" s="96"/>
      <c r="O92" s="96"/>
      <c r="Q92" s="34" t="s">
        <v>78</v>
      </c>
      <c r="T92" s="94"/>
      <c r="U92" s="9"/>
    </row>
    <row r="93" spans="3:21">
      <c r="D93" s="202"/>
      <c r="E93" s="206"/>
      <c r="F93" s="99" t="s">
        <v>122</v>
      </c>
      <c r="G93" s="205">
        <f t="shared" si="6"/>
        <v>0</v>
      </c>
      <c r="H93" s="205">
        <f t="shared" si="7"/>
        <v>0</v>
      </c>
      <c r="I93" s="212">
        <f>Base_Angle+4*Angle_Step</f>
        <v>6</v>
      </c>
      <c r="J93" s="149"/>
      <c r="K93" s="96"/>
      <c r="L93" s="151"/>
      <c r="M93" s="96"/>
      <c r="N93" s="96"/>
      <c r="O93" s="96"/>
      <c r="Q93" s="32" t="s">
        <v>79</v>
      </c>
      <c r="R93" s="26">
        <f>IF(Foot_Offset_Input&gt;0,Foot_Offset_Input,0.05*LP)</f>
        <v>0</v>
      </c>
      <c r="T93" s="94"/>
      <c r="U93" s="9"/>
    </row>
    <row r="94" spans="3:21">
      <c r="D94" s="202"/>
      <c r="E94" s="206"/>
      <c r="F94" s="99" t="s">
        <v>123</v>
      </c>
      <c r="G94" s="205">
        <f t="shared" si="6"/>
        <v>0</v>
      </c>
      <c r="H94" s="205">
        <f t="shared" si="7"/>
        <v>0</v>
      </c>
      <c r="I94" s="212">
        <f>Base_Angle+3*Angle_Step</f>
        <v>0.5</v>
      </c>
      <c r="J94" s="149"/>
      <c r="K94" s="96"/>
      <c r="L94" s="151"/>
      <c r="M94" s="96"/>
      <c r="N94" s="96"/>
      <c r="O94" s="96"/>
      <c r="Q94" s="23" t="s">
        <v>80</v>
      </c>
      <c r="R94" s="26">
        <f>SQRT(Clew_x^2+Clew_y^2)</f>
        <v>0</v>
      </c>
      <c r="T94" s="94"/>
      <c r="U94" s="9"/>
    </row>
    <row r="95" spans="3:21">
      <c r="D95" s="210" t="s">
        <v>142</v>
      </c>
      <c r="E95" s="210" t="s">
        <v>143</v>
      </c>
      <c r="F95" s="99" t="s">
        <v>124</v>
      </c>
      <c r="G95" s="205">
        <f t="shared" si="6"/>
        <v>0</v>
      </c>
      <c r="H95" s="205">
        <f t="shared" si="7"/>
        <v>0</v>
      </c>
      <c r="I95" s="212">
        <f>Base_Angle+2*Angle_Step</f>
        <v>-5</v>
      </c>
      <c r="J95" s="149"/>
      <c r="K95" s="96"/>
      <c r="L95" s="151"/>
      <c r="M95" s="96"/>
      <c r="N95" s="96"/>
      <c r="O95" s="96"/>
      <c r="Q95" s="32" t="s">
        <v>81</v>
      </c>
      <c r="R95" s="26">
        <f>Foot_Length/2</f>
        <v>0</v>
      </c>
      <c r="T95" s="94"/>
      <c r="U95" s="9"/>
    </row>
    <row r="96" spans="3:21">
      <c r="D96" s="211">
        <f>IF(HLW_Input&gt;0,D92+arc_radius*COS(RADIANS(Base_Angle)),0)</f>
        <v>0</v>
      </c>
      <c r="E96" s="211">
        <f>IF(HLW_Input&gt;0,E92+arc_radius*SIN(RADIANS(Base_Angle)),0)</f>
        <v>0</v>
      </c>
      <c r="F96" s="147" t="s">
        <v>125</v>
      </c>
      <c r="G96" s="205">
        <f t="shared" si="6"/>
        <v>0</v>
      </c>
      <c r="H96" s="205">
        <f t="shared" si="7"/>
        <v>0</v>
      </c>
      <c r="I96" s="212">
        <f>Base_Angle+1*Angle_Step</f>
        <v>-10.5</v>
      </c>
      <c r="J96" s="149"/>
      <c r="K96" s="96"/>
      <c r="L96" s="151"/>
      <c r="M96" s="96"/>
      <c r="N96" s="96"/>
      <c r="O96" s="96"/>
      <c r="Q96" s="32"/>
      <c r="R96" s="25"/>
      <c r="T96" s="94"/>
      <c r="U96" s="9"/>
    </row>
    <row r="97" spans="3:21">
      <c r="D97" s="99"/>
      <c r="E97" s="206"/>
      <c r="F97" s="147" t="s">
        <v>126</v>
      </c>
      <c r="G97" s="205">
        <f t="shared" si="6"/>
        <v>0</v>
      </c>
      <c r="H97" s="205">
        <f t="shared" si="7"/>
        <v>0</v>
      </c>
      <c r="I97" s="212">
        <f>Base_Angle+0*Angle_Step</f>
        <v>-16</v>
      </c>
      <c r="J97" s="149"/>
      <c r="K97" s="96"/>
      <c r="L97" s="151"/>
      <c r="M97" s="96"/>
      <c r="N97" s="96"/>
      <c r="O97" s="96"/>
      <c r="Q97" s="34" t="s">
        <v>82</v>
      </c>
      <c r="R97" s="25"/>
      <c r="T97" s="94"/>
      <c r="U97" s="9"/>
    </row>
    <row r="98" spans="3:21">
      <c r="D98" s="99"/>
      <c r="E98" s="206"/>
      <c r="F98" s="147" t="s">
        <v>125</v>
      </c>
      <c r="G98" s="205">
        <f t="shared" si="6"/>
        <v>0</v>
      </c>
      <c r="H98" s="205">
        <f t="shared" si="7"/>
        <v>0</v>
      </c>
      <c r="I98" s="212">
        <f>Base_Angle-1*Angle_Step</f>
        <v>-21.5</v>
      </c>
      <c r="J98" s="149"/>
      <c r="K98" s="96"/>
      <c r="L98" s="151"/>
      <c r="M98" s="96"/>
      <c r="N98" s="96"/>
      <c r="O98" s="96"/>
      <c r="Q98" s="32" t="s">
        <v>83</v>
      </c>
      <c r="R98" s="26" t="e">
        <f>Foot_Mid_Distance*SIN(FA_r-TA_r)</f>
        <v>#DIV/0!</v>
      </c>
      <c r="T98" s="94"/>
      <c r="U98" s="9"/>
    </row>
    <row r="99" spans="3:21">
      <c r="D99" s="99"/>
      <c r="E99" s="206"/>
      <c r="F99" s="99" t="s">
        <v>124</v>
      </c>
      <c r="G99" s="205">
        <f t="shared" si="6"/>
        <v>0</v>
      </c>
      <c r="H99" s="205">
        <f t="shared" si="7"/>
        <v>0</v>
      </c>
      <c r="I99" s="212">
        <f>Base_Angle-2*Angle_Step</f>
        <v>-27</v>
      </c>
      <c r="J99" s="149"/>
      <c r="K99" s="96"/>
      <c r="L99" s="151"/>
      <c r="M99" s="96"/>
      <c r="N99" s="96"/>
      <c r="O99" s="96"/>
      <c r="Q99" s="32" t="s">
        <v>84</v>
      </c>
      <c r="R99" s="26" t="e">
        <f>SQRT(Foot_Mid_Distance^2-FootMidy^2)</f>
        <v>#DIV/0!</v>
      </c>
      <c r="T99" s="94"/>
      <c r="U99" s="9"/>
    </row>
    <row r="100" spans="3:21">
      <c r="C100" s="99"/>
      <c r="D100" s="99"/>
      <c r="E100" s="206"/>
      <c r="F100" s="99" t="s">
        <v>123</v>
      </c>
      <c r="G100" s="205">
        <f t="shared" si="6"/>
        <v>0</v>
      </c>
      <c r="H100" s="205">
        <f t="shared" si="7"/>
        <v>0</v>
      </c>
      <c r="I100" s="212">
        <f>Base_Angle-3*Angle_Step</f>
        <v>-32.5</v>
      </c>
      <c r="J100" s="149"/>
      <c r="K100" s="96"/>
      <c r="L100" s="151"/>
      <c r="M100" s="96"/>
      <c r="N100" s="96"/>
      <c r="O100" s="96"/>
      <c r="T100" s="94"/>
      <c r="U100" s="9"/>
    </row>
    <row r="101" spans="3:21">
      <c r="C101" s="192"/>
      <c r="D101" s="206"/>
      <c r="E101" s="206"/>
      <c r="F101" s="99" t="s">
        <v>122</v>
      </c>
      <c r="G101" s="205">
        <f t="shared" si="6"/>
        <v>0</v>
      </c>
      <c r="H101" s="205">
        <f t="shared" si="7"/>
        <v>0</v>
      </c>
      <c r="I101" s="212">
        <f>Base_Angle-4*Angle_Step</f>
        <v>-38</v>
      </c>
      <c r="J101" s="149"/>
      <c r="K101" s="96"/>
      <c r="L101" s="151"/>
      <c r="M101" s="96"/>
      <c r="N101" s="96"/>
      <c r="O101" s="96"/>
      <c r="T101" s="94"/>
      <c r="U101" s="9"/>
    </row>
    <row r="102" spans="3:21">
      <c r="C102" s="192"/>
      <c r="D102" s="206"/>
      <c r="E102" s="206"/>
      <c r="F102" s="99" t="s">
        <v>121</v>
      </c>
      <c r="G102" s="205">
        <f t="shared" si="6"/>
        <v>0</v>
      </c>
      <c r="H102" s="205">
        <f t="shared" si="7"/>
        <v>0</v>
      </c>
      <c r="I102" s="212">
        <f>Base_Angle-5*Angle_Step</f>
        <v>-43.5</v>
      </c>
      <c r="J102" s="149"/>
      <c r="K102" s="96"/>
      <c r="L102" s="151"/>
      <c r="M102" s="96"/>
      <c r="N102" s="96"/>
      <c r="O102" s="96"/>
      <c r="T102" s="94"/>
      <c r="U102" s="9"/>
    </row>
    <row r="103" spans="3:21">
      <c r="C103" s="193"/>
      <c r="D103" s="206"/>
      <c r="E103" s="206"/>
      <c r="F103" s="202"/>
      <c r="G103" s="202"/>
      <c r="H103" s="202"/>
      <c r="I103" s="215"/>
      <c r="J103" s="149"/>
      <c r="K103" s="96"/>
      <c r="L103" s="151"/>
      <c r="M103" s="96"/>
      <c r="N103" s="96"/>
      <c r="O103" s="96"/>
      <c r="T103" s="94"/>
      <c r="U103" s="9"/>
    </row>
    <row r="104" spans="3:21">
      <c r="C104" s="193" t="s">
        <v>1</v>
      </c>
      <c r="D104" s="147" t="s">
        <v>118</v>
      </c>
      <c r="E104" s="147" t="s">
        <v>119</v>
      </c>
      <c r="F104" s="208" t="s">
        <v>120</v>
      </c>
      <c r="G104" s="209" t="s">
        <v>26</v>
      </c>
      <c r="H104" s="208" t="s">
        <v>27</v>
      </c>
      <c r="I104" s="214" t="s">
        <v>144</v>
      </c>
      <c r="J104" s="149"/>
      <c r="K104" s="96"/>
      <c r="L104" s="151"/>
      <c r="M104" s="96"/>
      <c r="N104" s="96"/>
      <c r="O104" s="96"/>
      <c r="T104" s="94"/>
      <c r="U104" s="9"/>
    </row>
    <row r="105" spans="3:21">
      <c r="C105" s="193"/>
      <c r="D105" s="206">
        <f>LPatLuff_x</f>
        <v>0</v>
      </c>
      <c r="E105" s="206">
        <f>LPatLuff_y</f>
        <v>0</v>
      </c>
      <c r="F105" s="99" t="s">
        <v>121</v>
      </c>
      <c r="G105" s="205">
        <f t="shared" ref="G105:G115" si="8">IF(AND(LL&gt;0,LP&gt;0,HHW&gt;0,HTW&gt;0),$D$109-arc_radius*COS(RADIANS(I105)),0)</f>
        <v>0</v>
      </c>
      <c r="H105" s="205">
        <f t="shared" ref="H105:H113" si="9">IF(AND(LL&gt;0,LP&gt;0,HHW&gt;0,HTW&gt;0),$E$109-arc_radius*SIN(RADIANS(I105)),0)</f>
        <v>0</v>
      </c>
      <c r="I105" s="212">
        <f>Base_Angle+5*Angle_Step</f>
        <v>11.5</v>
      </c>
      <c r="J105" s="149"/>
      <c r="K105" s="96"/>
      <c r="L105" s="151"/>
      <c r="M105" s="96"/>
      <c r="N105" s="96"/>
      <c r="O105" s="96"/>
      <c r="T105" s="94"/>
      <c r="U105" s="9"/>
    </row>
    <row r="106" spans="3:21">
      <c r="C106" s="193"/>
      <c r="D106" s="202"/>
      <c r="E106" s="206"/>
      <c r="F106" s="99" t="s">
        <v>122</v>
      </c>
      <c r="G106" s="205">
        <f t="shared" si="8"/>
        <v>0</v>
      </c>
      <c r="H106" s="205">
        <f t="shared" si="9"/>
        <v>0</v>
      </c>
      <c r="I106" s="212">
        <f>Base_Angle+4*Angle_Step</f>
        <v>6</v>
      </c>
      <c r="J106" s="149"/>
      <c r="K106" s="96"/>
      <c r="L106" s="151"/>
      <c r="M106" s="96"/>
      <c r="N106" s="96"/>
      <c r="O106" s="96"/>
      <c r="T106" s="94"/>
      <c r="U106" s="9"/>
    </row>
    <row r="107" spans="3:21">
      <c r="C107" s="193"/>
      <c r="D107" s="202"/>
      <c r="E107" s="206"/>
      <c r="F107" s="99" t="s">
        <v>123</v>
      </c>
      <c r="G107" s="205">
        <f t="shared" si="8"/>
        <v>0</v>
      </c>
      <c r="H107" s="205">
        <f t="shared" si="9"/>
        <v>0</v>
      </c>
      <c r="I107" s="212">
        <f>Base_Angle+3*Angle_Step</f>
        <v>0.5</v>
      </c>
      <c r="J107" s="149"/>
      <c r="K107" s="96"/>
      <c r="L107" s="151"/>
      <c r="M107" s="96"/>
      <c r="N107" s="96"/>
      <c r="O107" s="96"/>
      <c r="T107" s="94"/>
      <c r="U107" s="9"/>
    </row>
    <row r="108" spans="3:21">
      <c r="C108" s="193"/>
      <c r="D108" s="210" t="s">
        <v>142</v>
      </c>
      <c r="E108" s="210" t="s">
        <v>143</v>
      </c>
      <c r="F108" s="99" t="s">
        <v>124</v>
      </c>
      <c r="G108" s="205">
        <f t="shared" si="8"/>
        <v>0</v>
      </c>
      <c r="H108" s="205">
        <f t="shared" si="9"/>
        <v>0</v>
      </c>
      <c r="I108" s="212">
        <f>Base_Angle+2*Angle_Step</f>
        <v>-5</v>
      </c>
      <c r="J108" s="149"/>
      <c r="K108" s="96"/>
      <c r="L108" s="151"/>
      <c r="M108" s="96"/>
      <c r="N108" s="96"/>
      <c r="O108" s="96"/>
      <c r="T108" s="94"/>
      <c r="U108" s="9"/>
    </row>
    <row r="109" spans="3:21">
      <c r="C109" s="193"/>
      <c r="D109" s="211">
        <f>D105+arc_radius*COS(RADIANS(Base_Angle))</f>
        <v>0</v>
      </c>
      <c r="E109" s="211">
        <f>E105+arc_radius*SIN(RADIANS(Base_Angle))</f>
        <v>0</v>
      </c>
      <c r="F109" s="147" t="s">
        <v>125</v>
      </c>
      <c r="G109" s="205">
        <f t="shared" si="8"/>
        <v>0</v>
      </c>
      <c r="H109" s="205">
        <f t="shared" si="9"/>
        <v>0</v>
      </c>
      <c r="I109" s="212">
        <f>Base_Angle+1*Angle_Step</f>
        <v>-10.5</v>
      </c>
      <c r="J109" s="99"/>
      <c r="K109" s="99"/>
      <c r="L109" s="151"/>
      <c r="M109" s="148"/>
      <c r="N109" s="99"/>
      <c r="O109" s="200"/>
      <c r="T109" s="94"/>
      <c r="U109" s="9"/>
    </row>
    <row r="110" spans="3:21">
      <c r="C110" s="193"/>
      <c r="D110" s="99"/>
      <c r="E110" s="206"/>
      <c r="F110" s="147" t="s">
        <v>126</v>
      </c>
      <c r="G110" s="205">
        <f t="shared" si="8"/>
        <v>0</v>
      </c>
      <c r="H110" s="205">
        <f t="shared" si="9"/>
        <v>0</v>
      </c>
      <c r="I110" s="212">
        <f>Base_Angle+0*Angle_Step</f>
        <v>-16</v>
      </c>
      <c r="J110" s="99"/>
      <c r="K110" s="99"/>
      <c r="L110" s="151"/>
      <c r="M110" s="148"/>
      <c r="N110" s="99"/>
      <c r="O110" s="148"/>
      <c r="T110" s="94"/>
      <c r="U110" s="9"/>
    </row>
    <row r="111" spans="3:21">
      <c r="C111" s="193"/>
      <c r="D111" s="99"/>
      <c r="E111" s="206"/>
      <c r="F111" s="147" t="s">
        <v>125</v>
      </c>
      <c r="G111" s="205">
        <f t="shared" si="8"/>
        <v>0</v>
      </c>
      <c r="H111" s="205">
        <f t="shared" si="9"/>
        <v>0</v>
      </c>
      <c r="I111" s="212">
        <f>Base_Angle-1*Angle_Step</f>
        <v>-21.5</v>
      </c>
      <c r="J111" s="99"/>
      <c r="K111" s="99"/>
      <c r="L111" s="151"/>
      <c r="M111" s="148"/>
      <c r="N111" s="99"/>
      <c r="O111" s="148"/>
      <c r="T111" s="94"/>
      <c r="U111" s="9"/>
    </row>
    <row r="112" spans="3:21">
      <c r="C112" s="193"/>
      <c r="D112" s="99"/>
      <c r="E112" s="206"/>
      <c r="F112" s="99" t="s">
        <v>124</v>
      </c>
      <c r="G112" s="205">
        <f t="shared" si="8"/>
        <v>0</v>
      </c>
      <c r="H112" s="205">
        <f t="shared" si="9"/>
        <v>0</v>
      </c>
      <c r="I112" s="212">
        <f>Base_Angle-2*Angle_Step</f>
        <v>-27</v>
      </c>
      <c r="J112" s="99"/>
      <c r="K112" s="99"/>
      <c r="L112" s="96"/>
      <c r="M112" s="96"/>
      <c r="N112" s="96"/>
      <c r="O112" s="151"/>
      <c r="T112" s="94"/>
      <c r="U112" s="9"/>
    </row>
    <row r="113" spans="3:21">
      <c r="C113" s="193"/>
      <c r="D113" s="99"/>
      <c r="E113" s="206"/>
      <c r="F113" s="99" t="s">
        <v>123</v>
      </c>
      <c r="G113" s="205">
        <f t="shared" si="8"/>
        <v>0</v>
      </c>
      <c r="H113" s="205">
        <f t="shared" si="9"/>
        <v>0</v>
      </c>
      <c r="I113" s="212">
        <f>Base_Angle-3*Angle_Step</f>
        <v>-32.5</v>
      </c>
      <c r="J113" s="99"/>
      <c r="K113" s="99"/>
      <c r="L113" s="151"/>
      <c r="M113" s="99"/>
      <c r="N113" s="99"/>
      <c r="O113" s="96"/>
      <c r="T113" s="94"/>
      <c r="U113" s="9"/>
    </row>
    <row r="114" spans="3:21">
      <c r="C114" s="193"/>
      <c r="D114" s="206"/>
      <c r="E114" s="206"/>
      <c r="F114" s="99" t="s">
        <v>122</v>
      </c>
      <c r="G114" s="205">
        <f t="shared" si="8"/>
        <v>0</v>
      </c>
      <c r="H114" s="205">
        <f>IF(AND(LL&gt;0,LP&gt;0,HHW&gt;0,HTW&gt;0),$E$109-arc_radius*SIN(RADIANS(I114)),)</f>
        <v>0</v>
      </c>
      <c r="I114" s="212">
        <f>Base_Angle-4*Angle_Step</f>
        <v>-38</v>
      </c>
      <c r="J114" s="99"/>
      <c r="K114" s="99"/>
      <c r="L114" s="151"/>
      <c r="M114" s="148"/>
      <c r="N114" s="99"/>
      <c r="O114" s="96"/>
      <c r="T114" s="94"/>
      <c r="U114" s="9"/>
    </row>
    <row r="115" spans="3:21">
      <c r="C115" s="193"/>
      <c r="D115" s="206"/>
      <c r="E115" s="206"/>
      <c r="F115" s="99" t="s">
        <v>121</v>
      </c>
      <c r="G115" s="205">
        <f t="shared" si="8"/>
        <v>0</v>
      </c>
      <c r="H115" s="205">
        <f>IF(AND(LL&gt;0,LP&gt;0,HHW&gt;0,HTW&gt;0),$E$109-arc_radius*SIN(RADIANS(I115)),0)</f>
        <v>0</v>
      </c>
      <c r="I115" s="212">
        <f>Base_Angle-5*Angle_Step</f>
        <v>-43.5</v>
      </c>
      <c r="J115" s="99"/>
      <c r="K115" s="99"/>
      <c r="L115" s="151"/>
      <c r="M115" s="99"/>
      <c r="N115" s="99"/>
      <c r="O115" s="152"/>
      <c r="T115" s="94"/>
      <c r="U115" s="9"/>
    </row>
    <row r="116" spans="3:21">
      <c r="C116" s="193"/>
      <c r="D116" s="206"/>
      <c r="E116" s="206"/>
      <c r="F116" s="202"/>
      <c r="G116" s="205"/>
      <c r="H116" s="202"/>
      <c r="I116" s="96"/>
      <c r="J116" s="99"/>
      <c r="K116" s="99"/>
      <c r="L116" s="96"/>
      <c r="M116" s="145"/>
      <c r="N116" s="145"/>
      <c r="O116" s="151"/>
      <c r="T116" s="94"/>
      <c r="U116" s="9"/>
    </row>
    <row r="117" spans="3:21">
      <c r="C117" s="198" t="s">
        <v>4</v>
      </c>
      <c r="D117" s="202" t="s">
        <v>130</v>
      </c>
      <c r="E117" s="202">
        <f>IF(AND(LL&gt;0,LP&gt;0,HHW&gt;0,HTW&gt;0),LL*0.01,0)</f>
        <v>0</v>
      </c>
      <c r="F117" s="202"/>
      <c r="G117" s="202"/>
      <c r="H117" s="202"/>
      <c r="I117" s="148"/>
      <c r="J117" s="149"/>
      <c r="K117" s="96"/>
      <c r="L117" s="96"/>
      <c r="M117" s="148"/>
      <c r="N117" s="148"/>
      <c r="O117" s="148"/>
      <c r="T117" s="94"/>
      <c r="U117" s="9"/>
    </row>
    <row r="118" spans="3:21">
      <c r="D118" s="202" t="s">
        <v>131</v>
      </c>
      <c r="E118" s="202">
        <f>Tick_Offset*1.5</f>
        <v>0</v>
      </c>
      <c r="F118" s="202"/>
      <c r="G118" s="202"/>
      <c r="H118" s="202"/>
      <c r="J118" s="148"/>
      <c r="K118" s="151"/>
      <c r="L118" s="96"/>
      <c r="M118" s="148"/>
      <c r="N118" s="99"/>
      <c r="O118" s="99"/>
      <c r="T118" s="94"/>
      <c r="U118" s="9"/>
    </row>
    <row r="119" spans="3:21">
      <c r="D119" s="202" t="s">
        <v>152</v>
      </c>
      <c r="E119" s="202">
        <f>Tick_Length*1.67</f>
        <v>0</v>
      </c>
      <c r="F119" s="202"/>
      <c r="G119" s="204"/>
      <c r="H119" s="209" t="s">
        <v>26</v>
      </c>
      <c r="I119" s="195" t="s">
        <v>27</v>
      </c>
      <c r="J119" s="148"/>
      <c r="K119" s="151"/>
      <c r="L119" s="96"/>
      <c r="M119" s="148"/>
      <c r="N119" s="99"/>
      <c r="O119" s="99"/>
      <c r="T119" s="94"/>
      <c r="U119" s="9"/>
    </row>
    <row r="120" spans="3:21">
      <c r="D120" s="6" t="s">
        <v>137</v>
      </c>
      <c r="F120" s="6" t="s">
        <v>132</v>
      </c>
      <c r="G120" s="196"/>
      <c r="H120" s="151">
        <f>IF(AND(LL&gt;0,LP&gt;0,HHW&gt;0,HTW&gt;0),IF(JH_Input&gt;0,H121+Tick_Length*COS(FA_r),0),0)</f>
        <v>0</v>
      </c>
      <c r="I120" s="151">
        <f>IF(AND(LL&gt;0,LP&gt;0,HHW&gt;0,HTW&gt;0),IF(JH_Input&gt;0,I121+Tick_Length*SIN(FA_r),0),0)</f>
        <v>0</v>
      </c>
      <c r="J120" s="148"/>
      <c r="K120" s="309"/>
      <c r="L120" s="310"/>
      <c r="M120" s="148"/>
      <c r="N120" s="99"/>
      <c r="O120" s="99"/>
      <c r="T120" s="94"/>
      <c r="U120" s="9"/>
    </row>
    <row r="121" spans="3:21">
      <c r="F121" s="6" t="s">
        <v>133</v>
      </c>
      <c r="G121" s="196"/>
      <c r="H121" s="151">
        <f>IF(AND(LL&gt;0,LP&gt;0,HHW&gt;0,HTW&gt;0),IF(JH_Input&gt;0,Headx+Tick_Offset*COS(FA_r),0),0)</f>
        <v>0</v>
      </c>
      <c r="I121" s="151">
        <f>IF(AND(LL&gt;0,LP&gt;0,HHW&gt;0,HTW&gt;0),IF(JH_Input&gt;0,Heady+Tick_Offset*SIN(FA_r),0),0)</f>
        <v>0</v>
      </c>
      <c r="J121" s="148"/>
      <c r="K121" s="309"/>
      <c r="L121" s="310"/>
      <c r="M121" s="148"/>
      <c r="N121" s="99"/>
      <c r="O121" s="99"/>
      <c r="T121" s="94"/>
      <c r="U121" s="9"/>
    </row>
    <row r="122" spans="3:21">
      <c r="D122" s="6" t="s">
        <v>136</v>
      </c>
      <c r="F122" s="6" t="s">
        <v>132</v>
      </c>
      <c r="G122" s="196"/>
      <c r="H122" s="151">
        <f>IF(AND(LL&gt;0,LP&gt;0,HHW&gt;0,HTW&gt;0),IF(JH_Input&gt;0,H$123+Tick_Length*COS(FA_r),0),0)</f>
        <v>0</v>
      </c>
      <c r="I122" s="151">
        <f>IF(AND(LL&gt;0,LP&gt;0,HHW&gt;0,HTW&gt;0),IF(JH_Input&gt;0,I$123+Tick_Length*SIN(FA_r),0),0)</f>
        <v>0</v>
      </c>
      <c r="J122" s="148"/>
      <c r="K122" s="309"/>
      <c r="L122" s="310"/>
      <c r="M122" s="148"/>
      <c r="N122" s="99"/>
      <c r="O122" s="99"/>
      <c r="T122" s="94"/>
      <c r="U122" s="9"/>
    </row>
    <row r="123" spans="3:21">
      <c r="F123" s="6" t="s">
        <v>133</v>
      </c>
      <c r="G123" s="196"/>
      <c r="H123" s="151">
        <f>IF(AND(LL&gt;0,LP&gt;0,HHW&gt;0,HTW&gt;0),IF(JH_Input&gt;0,JHatLeechx+Tick_Offset*COS(FA_r),0),0)</f>
        <v>0</v>
      </c>
      <c r="I123" s="151">
        <f>IF(AND(LL&gt;0,LP&gt;0,HHW&gt;0,HTW&gt;0),IF(JH_Input&gt;0,JHatLeechy+Tick_Offset*SIN(FA_r),0),0)</f>
        <v>0</v>
      </c>
      <c r="J123" s="148"/>
      <c r="K123" s="309"/>
      <c r="L123" s="310"/>
      <c r="M123" s="148"/>
      <c r="N123" s="99"/>
      <c r="O123" s="99"/>
      <c r="T123" s="94"/>
      <c r="U123" s="9"/>
    </row>
    <row r="124" spans="3:21">
      <c r="D124" s="6" t="s">
        <v>138</v>
      </c>
      <c r="F124" s="6" t="s">
        <v>134</v>
      </c>
      <c r="G124" s="196"/>
      <c r="H124" s="151">
        <f>IF(AND(LL&gt;0,LP&gt;0,HHW&gt;0,HTW&gt;0),IF(JH_Input&gt;0,H125+E$119*COS(FAPer),0),0)</f>
        <v>0</v>
      </c>
      <c r="I124" s="151">
        <f>IF(AND(LL&gt;0,LP&gt;0,HHW&gt;0,HTW&gt;0),IF(JH_Input&gt;0,I125+E$119*SIN(FAPer),0),0)</f>
        <v>0</v>
      </c>
      <c r="J124" s="148"/>
      <c r="K124" s="145"/>
      <c r="L124" s="145"/>
      <c r="M124" s="145"/>
      <c r="N124" s="145"/>
      <c r="O124" s="145"/>
      <c r="T124" s="94"/>
      <c r="U124" s="9"/>
    </row>
    <row r="125" spans="3:21">
      <c r="F125" s="6" t="s">
        <v>135</v>
      </c>
      <c r="G125" s="196"/>
      <c r="H125" s="151">
        <f>IF(AND(LL&gt;0,LP&gt;0,HHW&gt;0,HTW&gt;0),IF(JH_Input&gt;0,H121+0.5*Tick_Length*COS(FA_r),0),0)</f>
        <v>0</v>
      </c>
      <c r="I125" s="151">
        <f>IF(AND(LL&gt;0,LP&gt;0,HHW&gt;0,HTW&gt;0),IF(JH_Input&gt;0,I121+0.5*Tick_Length*SIN(FA_r),0),0)</f>
        <v>0</v>
      </c>
      <c r="J125" s="145"/>
      <c r="K125" s="145"/>
      <c r="L125" s="145"/>
      <c r="M125" s="145"/>
      <c r="N125" s="145"/>
      <c r="O125" s="145"/>
      <c r="T125" s="94"/>
      <c r="U125" s="9"/>
    </row>
    <row r="126" spans="3:21">
      <c r="D126" s="6" t="s">
        <v>139</v>
      </c>
      <c r="F126" s="6" t="s">
        <v>134</v>
      </c>
      <c r="G126" s="196"/>
      <c r="H126" s="151">
        <f>IF(AND(LL&gt;0,LP&gt;0,HHW&gt;0,HTW&gt;0),IF(JH_Input&gt;0,H$123+0.5*Tick_Length*COS(FA_r),0),0)</f>
        <v>0</v>
      </c>
      <c r="I126" s="151">
        <f>IF(AND(LL&gt;0,LP&gt;0,HHW&gt;0,HTW&gt;0),IF(JH_Input&gt;0,I$123+0.5*Tick_Length*SIN(FA_r),0),0)</f>
        <v>0</v>
      </c>
      <c r="J126" s="148"/>
      <c r="K126" s="148"/>
      <c r="L126" s="98"/>
      <c r="M126" s="145"/>
      <c r="N126" s="311"/>
      <c r="O126" s="312"/>
      <c r="T126" s="94"/>
      <c r="U126" s="9"/>
    </row>
    <row r="127" spans="3:21">
      <c r="F127" s="6" t="s">
        <v>135</v>
      </c>
      <c r="G127" s="196"/>
      <c r="H127" s="151">
        <f>IF(AND(LL&gt;0,LP&gt;0,HHW&gt;0,HTW&gt;0),IF(JH_Input&gt;0,H126+E119*COS(-LPextAngle_r),0),0)</f>
        <v>0</v>
      </c>
      <c r="I127" s="151">
        <f>IF(AND(LL&gt;0,LP&gt;0,HHW&gt;0,HTW&gt;0),IF(JH_Input&gt;0,I126+E119*SIN(-LPextAngle_r),),0)</f>
        <v>0</v>
      </c>
      <c r="J127" s="99"/>
      <c r="K127" s="99"/>
      <c r="L127" s="98"/>
      <c r="M127" s="145"/>
      <c r="N127" s="148"/>
      <c r="O127" s="148"/>
      <c r="T127" s="94"/>
      <c r="U127" s="9"/>
    </row>
    <row r="128" spans="3:21">
      <c r="G128" s="8"/>
      <c r="H128" s="151"/>
      <c r="I128" s="151"/>
      <c r="J128" s="99"/>
      <c r="K128" s="99"/>
      <c r="L128" s="98"/>
      <c r="M128" s="148"/>
      <c r="N128" s="99"/>
      <c r="O128" s="99"/>
      <c r="T128" s="94"/>
      <c r="U128" s="9"/>
    </row>
    <row r="129" spans="3:21">
      <c r="C129" s="198" t="s">
        <v>0</v>
      </c>
      <c r="D129" s="6" t="s">
        <v>130</v>
      </c>
      <c r="E129" s="202">
        <f>Tick_Length</f>
        <v>0</v>
      </c>
      <c r="F129" s="6" t="s">
        <v>146</v>
      </c>
      <c r="G129" s="8"/>
      <c r="H129" s="151">
        <f>IF(AND(LL&gt;0,LP&gt;0,HHW&gt;0,HTW&gt;0),IF(LL&gt;0,Headx+LL_Tick_Offset*COS(FAPer),0),0)</f>
        <v>0</v>
      </c>
      <c r="I129" s="151">
        <f>IF(AND(LL&gt;0,LP&gt;0,HHW&gt;0,HTW&gt;0),IF(LL&gt;0,Heady+LL_Tick_Offset*SIN(FAPer),0),0)</f>
        <v>0</v>
      </c>
      <c r="J129" s="99"/>
      <c r="K129" s="99"/>
      <c r="L129" s="98"/>
      <c r="M129" s="148"/>
      <c r="N129" s="99"/>
      <c r="O129" s="99"/>
      <c r="T129" s="94"/>
      <c r="U129" s="9"/>
    </row>
    <row r="130" spans="3:21">
      <c r="D130" s="6" t="s">
        <v>131</v>
      </c>
      <c r="E130" s="202">
        <f>LL_Tick_Offset*1.33</f>
        <v>0</v>
      </c>
      <c r="F130" s="6" t="s">
        <v>147</v>
      </c>
      <c r="G130" s="8"/>
      <c r="H130" s="151">
        <f>IF(AND(LL&gt;0,LP&gt;0,HHW&gt;0,HTW&gt;0),IF(LL&gt;0,H$129+LL_Tick_Length*COS(FAPer),0),0)</f>
        <v>0</v>
      </c>
      <c r="I130" s="151">
        <f>IF(AND(LL&gt;0,LP&gt;0,HHW&gt;0,HTW&gt;0),IF(LL&gt;0,I$129+LL_Tick_Length*SIN(FAPer),0),0)</f>
        <v>0</v>
      </c>
      <c r="J130" s="96"/>
      <c r="K130" s="153"/>
      <c r="L130" s="154"/>
      <c r="M130" s="148"/>
      <c r="N130" s="99"/>
      <c r="O130" s="99"/>
      <c r="T130" s="94"/>
      <c r="U130" s="9"/>
    </row>
    <row r="131" spans="3:21">
      <c r="F131" s="6" t="s">
        <v>148</v>
      </c>
      <c r="G131" s="8"/>
      <c r="H131" s="151">
        <f>IF(AND(LL&gt;0,LP&gt;0,HHW&gt;0,HTW&gt;0),IF(LL&gt;0,Tack_h_x+LL_Tick_Offset*COS(FAPer),0),0)</f>
        <v>0</v>
      </c>
      <c r="I131" s="151">
        <f>IF(AND(LL&gt;0,LP&gt;0,HHW&gt;0,HTW&gt;0),IF(LL&gt;0,Tack_h_y+LL_Tick_Offset*SIN(FAPer),0),0)</f>
        <v>0</v>
      </c>
      <c r="J131" s="148"/>
      <c r="K131" s="148"/>
      <c r="L131" s="154"/>
      <c r="M131" s="145"/>
      <c r="N131" s="145"/>
      <c r="O131" s="145"/>
      <c r="T131" s="94"/>
      <c r="U131" s="9"/>
    </row>
    <row r="132" spans="3:21">
      <c r="F132" s="6" t="s">
        <v>149</v>
      </c>
      <c r="G132" s="8"/>
      <c r="H132" s="151">
        <f>IF(AND(LL&gt;0,LP&gt;0,HHW&gt;0,HTW&gt;0),IF(LL&gt;0,H$131+LL_Tick_Length*COS(FAPer),0),0)</f>
        <v>0</v>
      </c>
      <c r="I132" s="151">
        <f>IF(AND(LL&gt;0,LP&gt;0,HHW&gt;0,HTW&gt;0),IF(LL&gt;0,I$131+LL_Tick_Length*SIN(FAPer),0),0)</f>
        <v>0</v>
      </c>
      <c r="J132" s="99"/>
      <c r="K132" s="99"/>
      <c r="L132" s="154"/>
      <c r="M132" s="145"/>
      <c r="N132" s="311"/>
      <c r="O132" s="312"/>
      <c r="T132" s="94"/>
      <c r="U132" s="9"/>
    </row>
    <row r="133" spans="3:21">
      <c r="F133" s="6" t="s">
        <v>150</v>
      </c>
      <c r="G133" s="8"/>
      <c r="H133" s="151">
        <f>IF(AND(LL&gt;0,LP&gt;0,HHW&gt;0,HTW&gt;0),IF(LL&gt;0,H$129+0.5*LL_Tick_Length*COS(FAPer),0),0)</f>
        <v>0</v>
      </c>
      <c r="I133" s="151">
        <f>IF(AND(LL&gt;0,LP&gt;0,HHW&gt;0,HTW&gt;0),IF(LL&gt;0,I$129+0.5*LL_Tick_Length*SIN(FAPer),0),0)</f>
        <v>0</v>
      </c>
      <c r="J133" s="99"/>
      <c r="K133" s="99"/>
      <c r="L133" s="154"/>
      <c r="M133" s="145"/>
      <c r="N133" s="99"/>
      <c r="O133" s="99"/>
      <c r="T133" s="94"/>
      <c r="U133" s="9"/>
    </row>
    <row r="134" spans="3:21">
      <c r="F134" s="6" t="s">
        <v>151</v>
      </c>
      <c r="G134" s="8"/>
      <c r="H134" s="151">
        <f>IF(AND(LL&gt;0,LP&gt;0,HHW&gt;0,HTW&gt;0),IF(LL&gt;0,H$131+0.5*LL_Tick_Length*COS(FAPer),0),0)</f>
        <v>0</v>
      </c>
      <c r="I134" s="151">
        <f>IF(AND(LL&gt;0,LP&gt;0,HHW&gt;0,HTW&gt;0),IF(LL&gt;0,I$131+0.5*LL_Tick_Length*SIN(FAPer),0),0)</f>
        <v>0</v>
      </c>
      <c r="J134" s="99"/>
      <c r="K134" s="99"/>
      <c r="L134" s="154"/>
      <c r="M134" s="148"/>
      <c r="N134" s="99"/>
      <c r="O134" s="99"/>
      <c r="T134" s="94"/>
      <c r="U134" s="9"/>
    </row>
    <row r="135" spans="3:21">
      <c r="G135" s="8"/>
      <c r="H135" s="151"/>
      <c r="I135" s="99"/>
      <c r="J135" s="99"/>
      <c r="K135" s="99"/>
      <c r="L135" s="154"/>
      <c r="M135" s="148"/>
      <c r="N135" s="99"/>
      <c r="O135" s="99"/>
      <c r="T135" s="94"/>
      <c r="U135" s="9"/>
    </row>
    <row r="136" spans="3:21">
      <c r="C136" s="198" t="s">
        <v>6</v>
      </c>
      <c r="F136" s="6" t="s">
        <v>28</v>
      </c>
      <c r="G136" s="8"/>
      <c r="H136" s="151">
        <f>IF(AND(LL&gt;0,LP&gt;0,HHW&gt;0,HTW&gt;0),IF(Foot_Offset_Input&gt;0,Tack_h_x,0),0)</f>
        <v>0</v>
      </c>
      <c r="I136" s="151">
        <f>IF(AND(LL&gt;0,LP&gt;0,HHW&gt;0,HTW&gt;0),IF(Foot_Offset_Input&gt;0,Tack_h_y,0),0)</f>
        <v>0</v>
      </c>
      <c r="J136" s="99"/>
      <c r="K136" s="99"/>
      <c r="L136" s="154"/>
      <c r="M136" s="96"/>
      <c r="N136" s="99"/>
      <c r="O136" s="99"/>
      <c r="T136" s="94"/>
      <c r="U136" s="9"/>
    </row>
    <row r="137" spans="3:21">
      <c r="F137" s="6" t="s">
        <v>29</v>
      </c>
      <c r="G137" s="8"/>
      <c r="H137" s="151">
        <f>IF(AND(LL&gt;0,LP&gt;0,HHW&gt;0,HTW&gt;0),IF(Foot_Offset_Input&gt;0,Clew_x,0),0)</f>
        <v>0</v>
      </c>
      <c r="I137" s="151">
        <f>IF(AND(LL&gt;0,LP&gt;0,HHW&gt;0,HTW&gt;0),IF(Foot_Offset_Input&gt;0,Clew_y,0),0)</f>
        <v>0</v>
      </c>
      <c r="J137" s="99"/>
      <c r="K137" s="99"/>
      <c r="L137" s="154"/>
      <c r="M137" s="96"/>
      <c r="N137" s="96"/>
      <c r="O137" s="96"/>
      <c r="T137" s="94"/>
      <c r="U137" s="9"/>
    </row>
    <row r="138" spans="3:21">
      <c r="F138" s="6" t="s">
        <v>154</v>
      </c>
      <c r="G138" s="8"/>
      <c r="H138" s="151">
        <f>IF(AND(LL&gt;0,LP&gt;0,HHW&gt;0,HTW&gt;0),FootMidx,0)</f>
        <v>0</v>
      </c>
      <c r="I138" s="151">
        <f>IF(AND(LL&gt;0,LP&gt;0,HHW&gt;0,HTW&gt;0),FootMidy,0)</f>
        <v>0</v>
      </c>
      <c r="J138" s="99"/>
      <c r="K138" s="99"/>
      <c r="L138" s="154"/>
      <c r="M138" s="145"/>
      <c r="N138" s="311"/>
      <c r="O138" s="312"/>
      <c r="T138" s="94"/>
      <c r="U138" s="9"/>
    </row>
    <row r="139" spans="3:21">
      <c r="F139" s="6" t="s">
        <v>161</v>
      </c>
      <c r="G139" s="8"/>
      <c r="H139" s="151">
        <f>IF(AND(LL&gt;0,LP&gt;0,HHW&gt;0,HTW&gt;0),IF(Foot_Offset_Input&gt;0,FootMidx,0),0)</f>
        <v>0</v>
      </c>
      <c r="I139" s="151">
        <f>IF(AND(LL&gt;0,LP&gt;0,HHW&gt;0,HTW&gt;0),IF(Foot_Offset_Input&gt;0,FootMidy,0),0)</f>
        <v>0</v>
      </c>
      <c r="J139" s="99"/>
      <c r="K139" s="99"/>
      <c r="L139" s="154"/>
      <c r="M139" s="145"/>
      <c r="N139" s="148"/>
      <c r="O139" s="148"/>
      <c r="T139" s="94"/>
      <c r="U139" s="9"/>
    </row>
    <row r="140" spans="3:21">
      <c r="F140" s="6" t="s">
        <v>158</v>
      </c>
      <c r="G140" s="8"/>
      <c r="H140" s="151">
        <f>IF(AND(LL&gt;0,LP&gt;0,HHW&gt;0,HTW&gt;0),IF(Foot_Offset_Input&gt;0,FootMidx+E119*COS(R33),0),0)</f>
        <v>0</v>
      </c>
      <c r="I140" s="151">
        <f>IF(AND(LL&gt;0,LP&gt;0,HHW&gt;0,HTW&gt;0),IF(Foot_Offset_Input&gt;0,FootMidy+E119*SIN(R33),0),0)</f>
        <v>0</v>
      </c>
      <c r="J140" s="99"/>
      <c r="K140" s="99"/>
      <c r="L140" s="154"/>
      <c r="M140" s="148"/>
      <c r="N140" s="99"/>
      <c r="O140" s="99"/>
      <c r="T140" s="94"/>
      <c r="U140" s="9"/>
    </row>
    <row r="141" spans="3:21">
      <c r="F141" s="6" t="s">
        <v>159</v>
      </c>
      <c r="G141" s="8"/>
      <c r="H141" s="151">
        <f>IF(AND(LL&gt;0,LP&gt;0,HHW&gt;0,HTW&gt;0),IF(Foot_Offset_Input&gt;0,FootOffsetx,0),0)</f>
        <v>0</v>
      </c>
      <c r="I141" s="151">
        <f>IF(AND(LL&gt;0,LP&gt;0,HHW&gt;0,HTW&gt;0),IF(Foot_Offset_Input&gt;0,FootOffsety,0),0)</f>
        <v>0</v>
      </c>
      <c r="J141" s="99"/>
      <c r="K141" s="99"/>
      <c r="L141" s="154"/>
      <c r="M141" s="96"/>
      <c r="N141" s="99"/>
      <c r="O141" s="99"/>
      <c r="T141" s="94"/>
      <c r="U141" s="9"/>
    </row>
    <row r="142" spans="3:21">
      <c r="F142" s="6" t="s">
        <v>160</v>
      </c>
      <c r="G142" s="8"/>
      <c r="H142" s="151">
        <f>IF(AND(LL&gt;0,LP&gt;0,HHW&gt;0,HTW&gt;0),IF(Foot_Offset_Input&gt;0,FootOffsetx+E119*COS(R34),0),0)</f>
        <v>0</v>
      </c>
      <c r="I142" s="151">
        <f>IF(AND(LL&gt;0,LP&gt;0,HHW&gt;0,HTW&gt;0),IF(Foot_Offset_Input&gt;0,FootOffsety+E119*SIN(R34),0),0)</f>
        <v>0</v>
      </c>
      <c r="J142" s="99"/>
      <c r="K142" s="99"/>
      <c r="L142" s="154"/>
      <c r="M142" s="148"/>
      <c r="N142" s="99"/>
      <c r="O142" s="99"/>
      <c r="T142" s="94"/>
      <c r="U142" s="9"/>
    </row>
    <row r="143" spans="3:21">
      <c r="G143" s="8"/>
      <c r="H143" s="99"/>
      <c r="I143" s="99"/>
      <c r="J143" s="99"/>
      <c r="K143" s="99"/>
      <c r="L143" s="98"/>
      <c r="M143" s="96"/>
      <c r="N143" s="99"/>
      <c r="O143" s="99"/>
      <c r="T143" s="94"/>
      <c r="U143" s="9"/>
    </row>
    <row r="144" spans="3:21">
      <c r="C144" s="198" t="s">
        <v>174</v>
      </c>
      <c r="D144" s="6" t="s">
        <v>130</v>
      </c>
      <c r="E144" s="202">
        <f>Tick_Length*0.5</f>
        <v>0</v>
      </c>
      <c r="F144" s="6" t="s">
        <v>146</v>
      </c>
      <c r="G144" s="8"/>
      <c r="H144" s="151">
        <f>IF(AND(LL&gt;0,LP&gt;0,HHW&gt;0,HTW&gt;0),IF(JLE_1&gt;0,JHatLeechx+JL_Tick_Offset*COS(SLAPer),0),0)</f>
        <v>0</v>
      </c>
      <c r="I144" s="151">
        <f>IF(AND(LL&gt;0,LP&gt;0,HHW&gt;0,HTW&gt;0),IF(JLE_1&gt;0,JHatLeechy+JL_Tick_Offset*SIN(SLAPer),0),0)</f>
        <v>0</v>
      </c>
      <c r="J144" s="99"/>
      <c r="K144" s="99"/>
      <c r="L144" s="98"/>
      <c r="M144" s="97"/>
      <c r="N144" s="96"/>
      <c r="O144" s="96"/>
      <c r="T144" s="94"/>
      <c r="U144" s="9"/>
    </row>
    <row r="145" spans="4:21">
      <c r="D145" s="6" t="s">
        <v>131</v>
      </c>
      <c r="E145" s="202">
        <f>LL_Tick_Offset*1.25</f>
        <v>0</v>
      </c>
      <c r="F145" s="6" t="s">
        <v>147</v>
      </c>
      <c r="G145" s="8"/>
      <c r="H145" s="151">
        <f>IF(AND(LL&gt;0,LP&gt;0,HHW&gt;0,HTW&gt;0),IF(JLE_1&gt;0,H144+JL_Tick_Length*COS(SLAPer),0),0)</f>
        <v>0</v>
      </c>
      <c r="I145" s="151">
        <f>IF(AND(LL&gt;0,LP&gt;0,HHW&gt;0,HTW&gt;0),IF(JLE_1&gt;0,I144+JL_Tick_Length*SIN(SLAPer),0),0)</f>
        <v>0</v>
      </c>
      <c r="J145" s="99"/>
      <c r="K145" s="99"/>
      <c r="L145" s="98"/>
      <c r="M145" s="97"/>
      <c r="N145" s="96"/>
      <c r="O145" s="96"/>
      <c r="T145" s="94"/>
      <c r="U145" s="9"/>
    </row>
    <row r="146" spans="4:21">
      <c r="F146" s="6" t="s">
        <v>148</v>
      </c>
      <c r="G146" s="8"/>
      <c r="H146" s="151">
        <f>IF(AND(LL&gt;0,LP&gt;0,HHW&gt;0,HTW&gt;0),IF(JLE_1&gt;0,Clew_x+JL_Tick_Offset*COS(SLAPer),0),0)</f>
        <v>0</v>
      </c>
      <c r="I146" s="151">
        <f>IF(AND(LL&gt;0,LP&gt;0,HHW&gt;0,HTW&gt;0),IF(JLE_1&gt;0,Clew_y+JL_Tick_Offset*SIN(SLAPer),0),0)</f>
        <v>0</v>
      </c>
      <c r="J146" s="99"/>
      <c r="K146" s="99"/>
      <c r="L146" s="98"/>
      <c r="M146" s="97"/>
      <c r="N146" s="96"/>
      <c r="O146" s="96"/>
      <c r="T146" s="94"/>
      <c r="U146" s="9"/>
    </row>
    <row r="147" spans="4:21">
      <c r="F147" s="6" t="s">
        <v>149</v>
      </c>
      <c r="G147" s="8"/>
      <c r="H147" s="151">
        <f>IF(AND(LL&gt;0,LP&gt;0,HHW&gt;0,HTW&gt;0),IF(JLE_1&gt;0,H146+JL_Tick_Length*COS(SLAPer),0),0)</f>
        <v>0</v>
      </c>
      <c r="I147" s="151">
        <f>IF(AND(LL&gt;0,LP&gt;0,HHW&gt;0,HTW&gt;0),IF(JLE_1&gt;0,I146+JL_Tick_Length*SIN(SLAPer),0),0)</f>
        <v>0</v>
      </c>
      <c r="J147" s="99"/>
      <c r="K147" s="99"/>
      <c r="L147" s="98"/>
      <c r="M147" s="97"/>
      <c r="N147" s="96"/>
      <c r="O147" s="96"/>
      <c r="T147" s="94"/>
      <c r="U147" s="9"/>
    </row>
    <row r="148" spans="4:21">
      <c r="F148" s="6" t="s">
        <v>180</v>
      </c>
      <c r="G148" s="8"/>
      <c r="H148" s="151">
        <f>IF(AND(LL&gt;0,LP&gt;0,HHW&gt;0,HTW&gt;0),IF(JLE_1&gt;0,H144+0.5*JL_Tick_Length*COS(SLAPer),0),0)</f>
        <v>0</v>
      </c>
      <c r="I148" s="151">
        <f>IF(AND(LL&gt;0,LP&gt;0,HHW&gt;0,HTW&gt;0),IF(JLE_1&gt;0,I144+0.5*JL_Tick_Length*SIN(SLAPer),0),0)</f>
        <v>0</v>
      </c>
      <c r="J148" s="99"/>
      <c r="K148" s="99"/>
      <c r="L148" s="98"/>
      <c r="M148" s="97"/>
      <c r="N148" s="96"/>
      <c r="O148" s="96"/>
      <c r="T148" s="94"/>
      <c r="U148" s="9"/>
    </row>
    <row r="149" spans="4:21">
      <c r="F149" s="6" t="s">
        <v>181</v>
      </c>
      <c r="G149" s="8"/>
      <c r="H149" s="151">
        <f>IF(AND(LL&gt;0,LP&gt;0,HHW&gt;0,HTW&gt;0),IF(JLE_1&gt;0,H146+0.5*JL_Tick_Length*COS(SLAPer),0),0)</f>
        <v>0</v>
      </c>
      <c r="I149" s="151">
        <f>IF(AND(LL&gt;0,LP&gt;0,HHW&gt;0,HTW&gt;0),IF(JLE_1&gt;0,I146+0.5*JL_Tick_Length*SIN(SLAPer),0),0)</f>
        <v>0</v>
      </c>
      <c r="J149" s="99"/>
      <c r="K149" s="99"/>
      <c r="L149" s="98"/>
      <c r="M149" s="97"/>
      <c r="N149" s="96"/>
      <c r="O149" s="96"/>
      <c r="T149" s="94"/>
      <c r="U149" s="9"/>
    </row>
    <row r="150" spans="4:21">
      <c r="G150" s="8"/>
      <c r="H150" s="148"/>
      <c r="I150" s="148"/>
      <c r="J150" s="99"/>
      <c r="K150" s="99"/>
      <c r="L150" s="98"/>
      <c r="M150" s="97"/>
      <c r="N150" s="96"/>
      <c r="O150" s="96"/>
      <c r="T150" s="94"/>
      <c r="U150" s="9"/>
    </row>
    <row r="151" spans="4:21">
      <c r="G151" s="8"/>
      <c r="H151" s="148"/>
      <c r="I151" s="148"/>
      <c r="J151" s="96"/>
      <c r="K151" s="153"/>
      <c r="L151" s="154"/>
      <c r="M151" s="97"/>
      <c r="N151" s="96"/>
      <c r="O151" s="96"/>
      <c r="T151" s="94"/>
      <c r="U151" s="9"/>
    </row>
    <row r="152" spans="4:21">
      <c r="G152" s="8"/>
      <c r="H152" s="148"/>
      <c r="I152" s="148"/>
      <c r="J152" s="99"/>
      <c r="K152" s="99"/>
      <c r="L152" s="154"/>
      <c r="M152" s="97"/>
      <c r="N152" s="96"/>
      <c r="O152" s="96"/>
      <c r="T152" s="94"/>
      <c r="U152" s="9"/>
    </row>
    <row r="153" spans="4:21">
      <c r="G153" s="8"/>
      <c r="H153" s="148"/>
      <c r="I153" s="148"/>
      <c r="J153" s="99"/>
      <c r="K153" s="99"/>
      <c r="L153" s="98"/>
      <c r="M153" s="97"/>
      <c r="N153" s="96"/>
      <c r="O153" s="96"/>
      <c r="T153" s="94"/>
      <c r="U153" s="9"/>
    </row>
    <row r="154" spans="4:21">
      <c r="G154" s="8"/>
      <c r="H154" s="148"/>
      <c r="I154" s="148"/>
      <c r="J154" s="99"/>
      <c r="K154" s="99"/>
      <c r="L154" s="98"/>
      <c r="M154" s="97"/>
      <c r="N154" s="96"/>
      <c r="O154" s="96"/>
      <c r="T154" s="94"/>
      <c r="U154" s="9"/>
    </row>
    <row r="155" spans="4:21">
      <c r="G155" s="8"/>
      <c r="H155" s="148"/>
      <c r="I155" s="148"/>
      <c r="J155" s="99"/>
      <c r="K155" s="99"/>
      <c r="L155" s="98"/>
      <c r="M155" s="97"/>
      <c r="N155" s="96"/>
      <c r="O155" s="96"/>
      <c r="T155" s="94"/>
      <c r="U155" s="9"/>
    </row>
    <row r="156" spans="4:21">
      <c r="G156" s="8"/>
      <c r="H156" s="148"/>
      <c r="I156" s="148"/>
      <c r="J156" s="99"/>
      <c r="K156" s="99"/>
      <c r="L156" s="98"/>
      <c r="M156" s="97"/>
      <c r="N156" s="96"/>
      <c r="O156" s="96"/>
      <c r="T156" s="94"/>
      <c r="U156" s="9"/>
    </row>
    <row r="157" spans="4:21">
      <c r="G157" s="8"/>
      <c r="H157" s="96"/>
      <c r="I157" s="148"/>
      <c r="J157" s="99"/>
      <c r="K157" s="99"/>
      <c r="L157" s="98"/>
      <c r="M157" s="97"/>
      <c r="N157" s="96"/>
      <c r="O157" s="96"/>
      <c r="T157" s="94"/>
      <c r="U157" s="9"/>
    </row>
    <row r="158" spans="4:21">
      <c r="G158" s="8"/>
      <c r="H158" s="96"/>
      <c r="I158" s="148"/>
      <c r="J158" s="99"/>
      <c r="K158" s="99"/>
      <c r="L158" s="98"/>
      <c r="M158" s="97"/>
      <c r="N158" s="96"/>
      <c r="O158" s="96"/>
      <c r="T158" s="94"/>
      <c r="U158" s="9"/>
    </row>
    <row r="159" spans="4:21">
      <c r="G159" s="8"/>
      <c r="H159" s="96"/>
      <c r="I159" s="96"/>
      <c r="J159" s="99"/>
      <c r="K159" s="99"/>
      <c r="L159" s="98"/>
      <c r="M159" s="97"/>
      <c r="N159" s="96"/>
      <c r="O159" s="96"/>
      <c r="T159" s="94"/>
      <c r="U159" s="9"/>
    </row>
    <row r="160" spans="4:21">
      <c r="G160" s="8"/>
      <c r="H160" s="148"/>
      <c r="I160" s="148"/>
      <c r="J160" s="16"/>
      <c r="K160" s="16"/>
      <c r="L160" s="16"/>
      <c r="M160" s="16"/>
      <c r="N160" s="16"/>
      <c r="O160" s="16"/>
      <c r="T160" s="94"/>
      <c r="U160" s="9"/>
    </row>
    <row r="161" spans="7:21">
      <c r="G161" s="8"/>
      <c r="H161" s="148"/>
      <c r="I161" s="148"/>
      <c r="T161" s="94"/>
      <c r="U161" s="9"/>
    </row>
    <row r="162" spans="7:21">
      <c r="G162" s="8"/>
      <c r="H162" s="148"/>
      <c r="I162" s="148"/>
      <c r="T162" s="94"/>
      <c r="U162" s="9"/>
    </row>
    <row r="163" spans="7:21">
      <c r="G163" s="8"/>
      <c r="H163" s="148"/>
      <c r="I163" s="148"/>
      <c r="T163" s="94"/>
      <c r="U163" s="9"/>
    </row>
    <row r="164" spans="7:21">
      <c r="G164" s="8"/>
      <c r="H164" s="148"/>
      <c r="I164" s="148"/>
      <c r="T164" s="94"/>
      <c r="U164" s="9"/>
    </row>
    <row r="165" spans="7:21">
      <c r="G165" s="8"/>
      <c r="H165" s="148"/>
      <c r="I165" s="148"/>
      <c r="T165" s="94"/>
      <c r="U165" s="9"/>
    </row>
    <row r="166" spans="7:21">
      <c r="G166" s="8"/>
      <c r="H166" s="148"/>
      <c r="I166" s="148"/>
      <c r="T166" s="94"/>
      <c r="U166" s="9"/>
    </row>
    <row r="167" spans="7:21">
      <c r="G167" s="8"/>
      <c r="H167" s="148"/>
      <c r="I167" s="148"/>
      <c r="T167" s="94"/>
      <c r="U167" s="9"/>
    </row>
    <row r="168" spans="7:21">
      <c r="H168" s="16"/>
      <c r="I168" s="16"/>
      <c r="T168" s="94"/>
      <c r="U168" s="9"/>
    </row>
    <row r="169" spans="7:21">
      <c r="T169" s="94"/>
      <c r="U169" s="9"/>
    </row>
    <row r="170" spans="7:21">
      <c r="T170" s="94"/>
      <c r="U170" s="9"/>
    </row>
    <row r="171" spans="7:21">
      <c r="T171" s="94"/>
      <c r="U171" s="9"/>
    </row>
    <row r="172" spans="7:21">
      <c r="T172" s="94"/>
      <c r="U172" s="9"/>
    </row>
    <row r="173" spans="7:21">
      <c r="T173" s="94"/>
      <c r="U173" s="9"/>
    </row>
    <row r="174" spans="7:21">
      <c r="T174" s="94"/>
      <c r="U174" s="9"/>
    </row>
    <row r="175" spans="7:21">
      <c r="T175" s="94"/>
      <c r="U175" s="9"/>
    </row>
    <row r="176" spans="7:21">
      <c r="T176" s="94"/>
      <c r="U176" s="9"/>
    </row>
    <row r="177" spans="20:21">
      <c r="T177" s="94"/>
      <c r="U177" s="9"/>
    </row>
    <row r="178" spans="20:21">
      <c r="T178" s="94"/>
      <c r="U178" s="9"/>
    </row>
    <row r="179" spans="20:21">
      <c r="T179" s="94"/>
      <c r="U179" s="9"/>
    </row>
    <row r="180" spans="20:21">
      <c r="T180" s="94"/>
      <c r="U180" s="9"/>
    </row>
    <row r="181" spans="20:21">
      <c r="T181" s="94"/>
      <c r="U181" s="9"/>
    </row>
    <row r="182" spans="20:21">
      <c r="T182" s="94"/>
      <c r="U182" s="9"/>
    </row>
    <row r="183" spans="20:21">
      <c r="T183" s="94"/>
      <c r="U183" s="9"/>
    </row>
    <row r="184" spans="20:21">
      <c r="T184" s="94"/>
      <c r="U184" s="9"/>
    </row>
    <row r="185" spans="20:21">
      <c r="T185" s="94"/>
      <c r="U185" s="9"/>
    </row>
    <row r="186" spans="20:21">
      <c r="T186" s="94"/>
      <c r="U186" s="9"/>
    </row>
    <row r="187" spans="20:21">
      <c r="T187" s="94"/>
      <c r="U187" s="9"/>
    </row>
    <row r="188" spans="20:21">
      <c r="T188" s="94"/>
      <c r="U188" s="9"/>
    </row>
    <row r="189" spans="20:21">
      <c r="T189" s="94"/>
      <c r="U189" s="9"/>
    </row>
    <row r="190" spans="20:21">
      <c r="T190" s="94"/>
      <c r="U190" s="9"/>
    </row>
    <row r="191" spans="20:21">
      <c r="T191" s="94"/>
      <c r="U191" s="9"/>
    </row>
    <row r="192" spans="20:21">
      <c r="T192" s="94"/>
      <c r="U192" s="9"/>
    </row>
    <row r="193" spans="20:21">
      <c r="T193" s="94"/>
      <c r="U193" s="9"/>
    </row>
    <row r="194" spans="20:21">
      <c r="T194" s="94"/>
      <c r="U194" s="9"/>
    </row>
    <row r="195" spans="20:21">
      <c r="T195" s="94"/>
      <c r="U195" s="9"/>
    </row>
    <row r="196" spans="20:21">
      <c r="T196" s="94"/>
      <c r="U196" s="9"/>
    </row>
    <row r="197" spans="20:21">
      <c r="T197" s="94"/>
      <c r="U197" s="9"/>
    </row>
    <row r="198" spans="20:21">
      <c r="T198" s="94"/>
      <c r="U198" s="9"/>
    </row>
    <row r="199" spans="20:21">
      <c r="T199" s="94"/>
      <c r="U199" s="9"/>
    </row>
    <row r="200" spans="20:21">
      <c r="T200" s="94"/>
      <c r="U200" s="9"/>
    </row>
    <row r="201" spans="20:21">
      <c r="T201" s="94"/>
      <c r="U201" s="9"/>
    </row>
    <row r="202" spans="20:21">
      <c r="T202" s="94"/>
      <c r="U202" s="9"/>
    </row>
    <row r="203" spans="20:21">
      <c r="T203" s="94"/>
      <c r="U203" s="9"/>
    </row>
    <row r="204" spans="20:21">
      <c r="T204" s="94"/>
      <c r="U204" s="9"/>
    </row>
    <row r="205" spans="20:21">
      <c r="T205" s="94"/>
      <c r="U205" s="9"/>
    </row>
    <row r="206" spans="20:21">
      <c r="T206" s="94"/>
      <c r="U206" s="9"/>
    </row>
    <row r="207" spans="20:21">
      <c r="T207" s="94"/>
      <c r="U207" s="9"/>
    </row>
    <row r="208" spans="20:21">
      <c r="T208" s="94"/>
      <c r="U208" s="9"/>
    </row>
    <row r="209" spans="20:21">
      <c r="T209" s="94"/>
      <c r="U209" s="9"/>
    </row>
    <row r="210" spans="20:21">
      <c r="T210" s="94"/>
      <c r="U210" s="9"/>
    </row>
    <row r="211" spans="20:21">
      <c r="T211" s="94"/>
      <c r="U211" s="9"/>
    </row>
    <row r="212" spans="20:21">
      <c r="T212" s="94"/>
      <c r="U212" s="9"/>
    </row>
    <row r="213" spans="20:21">
      <c r="T213" s="94"/>
      <c r="U213" s="9"/>
    </row>
    <row r="214" spans="20:21">
      <c r="T214" s="94"/>
      <c r="U214" s="9"/>
    </row>
    <row r="215" spans="20:21">
      <c r="T215" s="94"/>
      <c r="U215" s="9"/>
    </row>
    <row r="216" spans="20:21">
      <c r="T216" s="94"/>
      <c r="U216" s="9"/>
    </row>
    <row r="217" spans="20:21">
      <c r="T217" s="94"/>
      <c r="U217" s="9"/>
    </row>
    <row r="218" spans="20:21">
      <c r="T218" s="94"/>
      <c r="U218" s="9"/>
    </row>
    <row r="219" spans="20:21">
      <c r="T219" s="94"/>
      <c r="U219" s="9"/>
    </row>
    <row r="220" spans="20:21">
      <c r="T220" s="94"/>
      <c r="U220" s="9"/>
    </row>
    <row r="221" spans="20:21">
      <c r="T221" s="94"/>
      <c r="U221" s="9"/>
    </row>
    <row r="222" spans="20:21">
      <c r="T222" s="94"/>
      <c r="U222" s="9"/>
    </row>
    <row r="223" spans="20:21">
      <c r="T223" s="94"/>
      <c r="U223" s="9"/>
    </row>
    <row r="224" spans="20:21">
      <c r="T224" s="94"/>
      <c r="U224" s="9"/>
    </row>
    <row r="225" spans="20:21">
      <c r="T225" s="94"/>
      <c r="U225" s="9"/>
    </row>
    <row r="226" spans="20:21">
      <c r="T226" s="94"/>
      <c r="U226" s="9"/>
    </row>
    <row r="227" spans="20:21">
      <c r="T227" s="94"/>
      <c r="U227" s="9"/>
    </row>
    <row r="228" spans="20:21">
      <c r="T228" s="94"/>
      <c r="U228" s="9"/>
    </row>
    <row r="229" spans="20:21">
      <c r="T229" s="94"/>
      <c r="U229" s="9"/>
    </row>
    <row r="230" spans="20:21">
      <c r="T230" s="94"/>
      <c r="U230" s="9"/>
    </row>
    <row r="231" spans="20:21">
      <c r="T231" s="94"/>
      <c r="U231" s="9"/>
    </row>
    <row r="232" spans="20:21">
      <c r="T232" s="94"/>
      <c r="U232" s="9"/>
    </row>
    <row r="233" spans="20:21">
      <c r="T233" s="94"/>
      <c r="U233" s="9"/>
    </row>
    <row r="234" spans="20:21">
      <c r="T234" s="94"/>
      <c r="U234" s="9"/>
    </row>
    <row r="235" spans="20:21">
      <c r="T235" s="94"/>
      <c r="U235" s="9"/>
    </row>
    <row r="236" spans="20:21">
      <c r="T236" s="94"/>
      <c r="U236" s="9"/>
    </row>
    <row r="237" spans="20:21">
      <c r="T237" s="94"/>
      <c r="U237" s="9"/>
    </row>
    <row r="238" spans="20:21">
      <c r="T238" s="94"/>
      <c r="U238" s="9"/>
    </row>
    <row r="239" spans="20:21">
      <c r="T239" s="94"/>
      <c r="U239" s="9"/>
    </row>
    <row r="240" spans="20:21">
      <c r="T240" s="94"/>
      <c r="U240" s="9"/>
    </row>
    <row r="241" spans="20:21">
      <c r="T241" s="94"/>
      <c r="U241" s="9"/>
    </row>
    <row r="242" spans="20:21">
      <c r="T242" s="94"/>
      <c r="U242" s="9"/>
    </row>
    <row r="243" spans="20:21">
      <c r="T243" s="94"/>
      <c r="U243" s="9"/>
    </row>
    <row r="244" spans="20:21">
      <c r="T244" s="94"/>
      <c r="U244" s="9"/>
    </row>
    <row r="245" spans="20:21">
      <c r="T245" s="94"/>
      <c r="U245" s="9"/>
    </row>
    <row r="246" spans="20:21">
      <c r="T246" s="94"/>
      <c r="U246" s="9"/>
    </row>
    <row r="247" spans="20:21">
      <c r="T247" s="94"/>
      <c r="U247" s="9"/>
    </row>
    <row r="248" spans="20:21">
      <c r="T248" s="94"/>
      <c r="U248" s="9"/>
    </row>
    <row r="249" spans="20:21">
      <c r="T249" s="94"/>
      <c r="U249" s="9"/>
    </row>
    <row r="250" spans="20:21">
      <c r="T250" s="94"/>
      <c r="U250" s="9"/>
    </row>
    <row r="251" spans="20:21">
      <c r="T251" s="94"/>
      <c r="U251" s="9"/>
    </row>
    <row r="252" spans="20:21">
      <c r="T252" s="94"/>
      <c r="U252" s="9"/>
    </row>
    <row r="253" spans="20:21">
      <c r="T253" s="94"/>
      <c r="U253" s="9"/>
    </row>
    <row r="254" spans="20:21">
      <c r="T254" s="94"/>
      <c r="U254" s="9"/>
    </row>
    <row r="255" spans="20:21">
      <c r="T255" s="94"/>
      <c r="U255" s="9"/>
    </row>
    <row r="256" spans="20:21">
      <c r="T256" s="94"/>
      <c r="U256" s="9"/>
    </row>
    <row r="257" spans="20:21">
      <c r="T257" s="94"/>
      <c r="U257" s="9"/>
    </row>
    <row r="258" spans="20:21">
      <c r="T258" s="94"/>
      <c r="U258" s="9"/>
    </row>
    <row r="259" spans="20:21">
      <c r="T259" s="94"/>
      <c r="U259" s="9"/>
    </row>
    <row r="260" spans="20:21">
      <c r="T260" s="94"/>
      <c r="U260" s="9"/>
    </row>
    <row r="261" spans="20:21">
      <c r="T261" s="94"/>
      <c r="U261" s="9"/>
    </row>
    <row r="262" spans="20:21">
      <c r="T262" s="94"/>
      <c r="U262" s="9"/>
    </row>
    <row r="263" spans="20:21">
      <c r="T263" s="94"/>
      <c r="U263" s="9"/>
    </row>
    <row r="264" spans="20:21">
      <c r="T264" s="94"/>
      <c r="U264" s="9"/>
    </row>
    <row r="265" spans="20:21">
      <c r="T265" s="94"/>
      <c r="U265" s="9"/>
    </row>
    <row r="266" spans="20:21">
      <c r="T266" s="94"/>
      <c r="U266" s="9"/>
    </row>
    <row r="267" spans="20:21">
      <c r="T267" s="94"/>
      <c r="U267" s="9"/>
    </row>
    <row r="268" spans="20:21">
      <c r="T268" s="94"/>
      <c r="U268" s="9"/>
    </row>
    <row r="269" spans="20:21">
      <c r="T269" s="94"/>
      <c r="U269" s="9"/>
    </row>
    <row r="270" spans="20:21">
      <c r="T270" s="94"/>
      <c r="U270" s="9"/>
    </row>
    <row r="271" spans="20:21">
      <c r="T271" s="94"/>
      <c r="U271" s="9"/>
    </row>
    <row r="272" spans="20:21">
      <c r="T272" s="94"/>
      <c r="U272" s="9"/>
    </row>
    <row r="273" spans="20:21">
      <c r="T273" s="94"/>
      <c r="U273" s="9"/>
    </row>
    <row r="274" spans="20:21">
      <c r="T274" s="94"/>
      <c r="U274" s="9"/>
    </row>
    <row r="275" spans="20:21">
      <c r="T275" s="94"/>
      <c r="U275" s="9"/>
    </row>
    <row r="276" spans="20:21">
      <c r="T276" s="94"/>
      <c r="U276" s="9"/>
    </row>
    <row r="277" spans="20:21">
      <c r="T277" s="94"/>
      <c r="U277" s="9"/>
    </row>
    <row r="278" spans="20:21">
      <c r="T278" s="94"/>
      <c r="U278" s="9"/>
    </row>
    <row r="279" spans="20:21">
      <c r="T279" s="94"/>
      <c r="U279" s="9"/>
    </row>
    <row r="280" spans="20:21">
      <c r="T280" s="94"/>
      <c r="U280" s="9"/>
    </row>
    <row r="281" spans="20:21">
      <c r="T281" s="94"/>
      <c r="U281" s="9"/>
    </row>
    <row r="282" spans="20:21">
      <c r="T282" s="94"/>
      <c r="U282" s="9"/>
    </row>
    <row r="283" spans="20:21">
      <c r="T283" s="94"/>
      <c r="U283" s="9"/>
    </row>
    <row r="284" spans="20:21">
      <c r="T284" s="94"/>
      <c r="U284" s="9"/>
    </row>
    <row r="285" spans="20:21">
      <c r="T285" s="94"/>
      <c r="U285" s="9"/>
    </row>
    <row r="286" spans="20:21">
      <c r="T286" s="94"/>
      <c r="U286" s="9"/>
    </row>
    <row r="287" spans="20:21">
      <c r="T287" s="94"/>
      <c r="U287" s="9"/>
    </row>
    <row r="288" spans="20:21">
      <c r="T288" s="94"/>
      <c r="U288" s="9"/>
    </row>
    <row r="289" spans="20:21">
      <c r="T289" s="94"/>
      <c r="U289" s="9"/>
    </row>
    <row r="290" spans="20:21">
      <c r="T290" s="94"/>
      <c r="U290" s="9"/>
    </row>
    <row r="291" spans="20:21">
      <c r="T291" s="94"/>
      <c r="U291" s="9"/>
    </row>
    <row r="292" spans="20:21">
      <c r="T292" s="94"/>
      <c r="U292" s="9"/>
    </row>
    <row r="293" spans="20:21">
      <c r="T293" s="94"/>
      <c r="U293" s="9"/>
    </row>
    <row r="294" spans="20:21">
      <c r="T294" s="94"/>
      <c r="U294" s="9"/>
    </row>
    <row r="295" spans="20:21">
      <c r="T295" s="94"/>
      <c r="U295" s="9"/>
    </row>
    <row r="296" spans="20:21">
      <c r="T296" s="94"/>
      <c r="U296" s="9"/>
    </row>
    <row r="297" spans="20:21">
      <c r="T297" s="94"/>
      <c r="U297" s="9"/>
    </row>
    <row r="298" spans="20:21">
      <c r="T298" s="94"/>
      <c r="U298" s="9"/>
    </row>
    <row r="299" spans="20:21">
      <c r="T299" s="94"/>
      <c r="U299" s="9"/>
    </row>
    <row r="300" spans="20:21">
      <c r="T300" s="94"/>
      <c r="U300" s="9"/>
    </row>
    <row r="301" spans="20:21">
      <c r="T301" s="94"/>
      <c r="U301" s="9"/>
    </row>
    <row r="302" spans="20:21">
      <c r="T302" s="94"/>
      <c r="U302" s="9"/>
    </row>
    <row r="303" spans="20:21">
      <c r="T303" s="94"/>
      <c r="U303" s="9"/>
    </row>
    <row r="304" spans="20:21">
      <c r="T304" s="94"/>
      <c r="U304" s="9"/>
    </row>
    <row r="305" spans="20:21">
      <c r="T305" s="94"/>
      <c r="U305" s="9"/>
    </row>
    <row r="306" spans="20:21">
      <c r="T306" s="94"/>
      <c r="U306" s="9"/>
    </row>
    <row r="307" spans="20:21">
      <c r="T307" s="94"/>
      <c r="U307" s="9"/>
    </row>
    <row r="308" spans="20:21">
      <c r="T308" s="94"/>
      <c r="U308" s="9"/>
    </row>
    <row r="309" spans="20:21">
      <c r="T309" s="94"/>
      <c r="U309" s="9"/>
    </row>
    <row r="310" spans="20:21">
      <c r="T310" s="94"/>
      <c r="U310" s="9"/>
    </row>
    <row r="311" spans="20:21">
      <c r="T311" s="94"/>
      <c r="U311" s="9"/>
    </row>
    <row r="312" spans="20:21">
      <c r="T312" s="94"/>
      <c r="U312" s="9"/>
    </row>
    <row r="313" spans="20:21">
      <c r="T313" s="94"/>
      <c r="U313" s="9"/>
    </row>
    <row r="314" spans="20:21">
      <c r="T314" s="94"/>
      <c r="U314" s="9"/>
    </row>
    <row r="315" spans="20:21">
      <c r="T315" s="94"/>
      <c r="U315" s="9"/>
    </row>
    <row r="316" spans="20:21">
      <c r="T316" s="94"/>
      <c r="U316" s="9"/>
    </row>
    <row r="317" spans="20:21">
      <c r="T317" s="94"/>
      <c r="U317" s="9"/>
    </row>
    <row r="318" spans="20:21">
      <c r="T318" s="94"/>
      <c r="U318" s="9"/>
    </row>
    <row r="319" spans="20:21">
      <c r="T319" s="94"/>
      <c r="U319" s="9"/>
    </row>
    <row r="320" spans="20:21">
      <c r="T320" s="94"/>
      <c r="U320" s="9"/>
    </row>
    <row r="321" spans="20:21">
      <c r="T321" s="94"/>
      <c r="U321" s="9"/>
    </row>
    <row r="322" spans="20:21">
      <c r="T322" s="94"/>
      <c r="U322" s="9"/>
    </row>
    <row r="323" spans="20:21">
      <c r="T323" s="94"/>
      <c r="U323" s="9"/>
    </row>
    <row r="324" spans="20:21">
      <c r="T324" s="94"/>
      <c r="U324" s="9"/>
    </row>
    <row r="325" spans="20:21">
      <c r="T325" s="94"/>
      <c r="U325" s="9"/>
    </row>
    <row r="326" spans="20:21">
      <c r="T326" s="94"/>
      <c r="U326" s="9"/>
    </row>
    <row r="327" spans="20:21">
      <c r="T327" s="94"/>
      <c r="U327" s="9"/>
    </row>
    <row r="328" spans="20:21">
      <c r="T328" s="94"/>
      <c r="U328" s="9"/>
    </row>
    <row r="329" spans="20:21">
      <c r="T329" s="94"/>
      <c r="U329" s="9"/>
    </row>
    <row r="330" spans="20:21">
      <c r="T330" s="94"/>
      <c r="U330" s="9"/>
    </row>
    <row r="331" spans="20:21">
      <c r="T331" s="94"/>
      <c r="U331" s="9"/>
    </row>
    <row r="332" spans="20:21">
      <c r="T332" s="94"/>
      <c r="U332" s="9"/>
    </row>
    <row r="333" spans="20:21">
      <c r="T333" s="94"/>
      <c r="U333" s="9"/>
    </row>
    <row r="334" spans="20:21">
      <c r="T334" s="94"/>
      <c r="U334" s="9"/>
    </row>
    <row r="335" spans="20:21">
      <c r="T335" s="94"/>
      <c r="U335" s="9"/>
    </row>
    <row r="336" spans="20:21">
      <c r="T336" s="94"/>
      <c r="U336" s="9"/>
    </row>
    <row r="337" spans="20:21">
      <c r="T337" s="94"/>
      <c r="U337" s="9"/>
    </row>
    <row r="338" spans="20:21">
      <c r="T338" s="94"/>
      <c r="U338" s="9"/>
    </row>
    <row r="339" spans="20:21">
      <c r="T339" s="94"/>
      <c r="U339" s="9"/>
    </row>
    <row r="340" spans="20:21">
      <c r="T340" s="94"/>
      <c r="U340" s="9"/>
    </row>
    <row r="341" spans="20:21">
      <c r="T341" s="94"/>
      <c r="U341" s="9"/>
    </row>
    <row r="342" spans="20:21">
      <c r="T342" s="94"/>
      <c r="U342" s="9"/>
    </row>
    <row r="343" spans="20:21">
      <c r="T343" s="94"/>
      <c r="U343" s="9"/>
    </row>
    <row r="344" spans="20:21">
      <c r="T344" s="94"/>
      <c r="U344" s="9"/>
    </row>
    <row r="345" spans="20:21">
      <c r="T345" s="94"/>
      <c r="U345" s="9"/>
    </row>
    <row r="346" spans="20:21">
      <c r="T346" s="94"/>
      <c r="U346" s="9"/>
    </row>
    <row r="347" spans="20:21">
      <c r="T347" s="94"/>
      <c r="U347" s="9"/>
    </row>
    <row r="348" spans="20:21">
      <c r="T348" s="94"/>
      <c r="U348" s="9"/>
    </row>
    <row r="349" spans="20:21">
      <c r="T349" s="94"/>
      <c r="U349" s="9"/>
    </row>
    <row r="350" spans="20:21">
      <c r="T350" s="94"/>
      <c r="U350" s="9"/>
    </row>
    <row r="351" spans="20:21">
      <c r="T351" s="94"/>
      <c r="U351" s="9"/>
    </row>
    <row r="352" spans="20:21">
      <c r="T352" s="94"/>
      <c r="U352" s="9"/>
    </row>
    <row r="353" spans="20:21">
      <c r="T353" s="94"/>
      <c r="U353" s="9"/>
    </row>
    <row r="354" spans="20:21">
      <c r="T354" s="94"/>
      <c r="U354" s="9"/>
    </row>
    <row r="355" spans="20:21">
      <c r="T355" s="94"/>
      <c r="U355" s="9"/>
    </row>
    <row r="356" spans="20:21">
      <c r="T356" s="94"/>
      <c r="U356" s="9"/>
    </row>
    <row r="357" spans="20:21">
      <c r="T357" s="94"/>
      <c r="U357" s="9"/>
    </row>
    <row r="358" spans="20:21">
      <c r="T358" s="94"/>
      <c r="U358" s="9"/>
    </row>
    <row r="359" spans="20:21">
      <c r="T359" s="94"/>
      <c r="U359" s="9"/>
    </row>
    <row r="360" spans="20:21">
      <c r="T360" s="94"/>
      <c r="U360" s="9"/>
    </row>
    <row r="361" spans="20:21">
      <c r="T361" s="94"/>
      <c r="U361" s="9"/>
    </row>
    <row r="362" spans="20:21">
      <c r="T362" s="94"/>
      <c r="U362" s="9"/>
    </row>
    <row r="363" spans="20:21">
      <c r="T363" s="94"/>
      <c r="U363" s="9"/>
    </row>
    <row r="364" spans="20:21">
      <c r="T364" s="94"/>
      <c r="U364" s="9"/>
    </row>
    <row r="365" spans="20:21">
      <c r="T365" s="94"/>
      <c r="U365" s="9"/>
    </row>
    <row r="366" spans="20:21">
      <c r="T366" s="94"/>
      <c r="U366" s="9"/>
    </row>
    <row r="367" spans="20:21">
      <c r="T367" s="94"/>
      <c r="U367" s="9"/>
    </row>
    <row r="368" spans="20:21">
      <c r="T368" s="94"/>
      <c r="U368" s="9"/>
    </row>
    <row r="369" spans="20:21">
      <c r="T369" s="94"/>
      <c r="U369" s="9"/>
    </row>
    <row r="370" spans="20:21">
      <c r="T370" s="94"/>
      <c r="U370" s="9"/>
    </row>
    <row r="371" spans="20:21">
      <c r="T371" s="94"/>
      <c r="U371" s="9"/>
    </row>
    <row r="372" spans="20:21">
      <c r="T372" s="94"/>
      <c r="U372" s="9"/>
    </row>
    <row r="373" spans="20:21">
      <c r="T373" s="94"/>
      <c r="U373" s="9"/>
    </row>
    <row r="374" spans="20:21">
      <c r="T374" s="94"/>
      <c r="U374" s="9"/>
    </row>
    <row r="375" spans="20:21">
      <c r="T375" s="94"/>
      <c r="U375" s="9"/>
    </row>
    <row r="376" spans="20:21">
      <c r="T376" s="94"/>
      <c r="U376" s="9"/>
    </row>
    <row r="377" spans="20:21">
      <c r="T377" s="94"/>
      <c r="U377" s="9"/>
    </row>
    <row r="378" spans="20:21">
      <c r="T378" s="94"/>
      <c r="U378" s="9"/>
    </row>
    <row r="379" spans="20:21">
      <c r="T379" s="94"/>
      <c r="U379" s="9"/>
    </row>
    <row r="380" spans="20:21">
      <c r="T380" s="94"/>
      <c r="U380" s="9"/>
    </row>
    <row r="381" spans="20:21">
      <c r="T381" s="94"/>
      <c r="U381" s="9"/>
    </row>
    <row r="382" spans="20:21">
      <c r="T382" s="94"/>
      <c r="U382" s="9"/>
    </row>
    <row r="383" spans="20:21">
      <c r="T383" s="94"/>
      <c r="U383" s="9"/>
    </row>
    <row r="384" spans="20:21">
      <c r="T384" s="94"/>
      <c r="U384" s="9"/>
    </row>
    <row r="385" spans="20:21">
      <c r="T385" s="94"/>
      <c r="U385" s="9"/>
    </row>
    <row r="386" spans="20:21">
      <c r="T386" s="94"/>
      <c r="U386" s="9"/>
    </row>
    <row r="387" spans="20:21">
      <c r="T387" s="94"/>
      <c r="U387" s="9"/>
    </row>
    <row r="388" spans="20:21">
      <c r="T388" s="94"/>
      <c r="U388" s="9"/>
    </row>
    <row r="389" spans="20:21">
      <c r="T389" s="94"/>
      <c r="U389" s="9"/>
    </row>
    <row r="390" spans="20:21">
      <c r="T390" s="94"/>
      <c r="U390" s="9"/>
    </row>
    <row r="391" spans="20:21">
      <c r="T391" s="94"/>
      <c r="U391" s="9"/>
    </row>
    <row r="392" spans="20:21">
      <c r="T392" s="94"/>
      <c r="U392" s="9"/>
    </row>
    <row r="393" spans="20:21">
      <c r="T393" s="94"/>
      <c r="U393" s="9"/>
    </row>
    <row r="394" spans="20:21">
      <c r="T394" s="94"/>
      <c r="U394" s="9"/>
    </row>
    <row r="395" spans="20:21">
      <c r="T395" s="94"/>
      <c r="U395" s="9"/>
    </row>
    <row r="396" spans="20:21">
      <c r="T396" s="94"/>
      <c r="U396" s="9"/>
    </row>
    <row r="397" spans="20:21">
      <c r="T397" s="94"/>
      <c r="U397" s="9"/>
    </row>
    <row r="398" spans="20:21">
      <c r="T398" s="94"/>
      <c r="U398" s="9"/>
    </row>
    <row r="399" spans="20:21">
      <c r="T399" s="94"/>
      <c r="U399" s="9"/>
    </row>
    <row r="400" spans="20:21">
      <c r="T400" s="94"/>
      <c r="U400" s="9"/>
    </row>
    <row r="401" spans="20:21">
      <c r="T401" s="94"/>
      <c r="U401" s="9"/>
    </row>
    <row r="402" spans="20:21">
      <c r="T402" s="94"/>
      <c r="U402" s="9"/>
    </row>
    <row r="403" spans="20:21">
      <c r="T403" s="94"/>
      <c r="U403" s="9"/>
    </row>
    <row r="404" spans="20:21">
      <c r="T404" s="94"/>
      <c r="U404" s="9"/>
    </row>
    <row r="405" spans="20:21">
      <c r="T405" s="94"/>
      <c r="U405" s="9"/>
    </row>
    <row r="406" spans="20:21">
      <c r="T406" s="94"/>
      <c r="U406" s="9"/>
    </row>
    <row r="407" spans="20:21">
      <c r="T407" s="94"/>
      <c r="U407" s="9"/>
    </row>
    <row r="408" spans="20:21">
      <c r="T408" s="94"/>
      <c r="U408" s="9"/>
    </row>
    <row r="409" spans="20:21">
      <c r="T409" s="94"/>
      <c r="U409" s="9"/>
    </row>
    <row r="410" spans="20:21">
      <c r="T410" s="94"/>
      <c r="U410" s="9"/>
    </row>
    <row r="411" spans="20:21">
      <c r="T411" s="94"/>
      <c r="U411" s="9"/>
    </row>
    <row r="412" spans="20:21">
      <c r="T412" s="94"/>
      <c r="U412" s="9"/>
    </row>
    <row r="413" spans="20:21">
      <c r="T413" s="94"/>
      <c r="U413" s="9"/>
    </row>
    <row r="414" spans="20:21">
      <c r="T414" s="94"/>
      <c r="U414" s="9"/>
    </row>
    <row r="415" spans="20:21">
      <c r="T415" s="94"/>
      <c r="U415" s="9"/>
    </row>
    <row r="416" spans="20:21">
      <c r="T416" s="94"/>
      <c r="U416" s="9"/>
    </row>
    <row r="417" spans="20:21">
      <c r="T417" s="94"/>
      <c r="U417" s="9"/>
    </row>
    <row r="418" spans="20:21">
      <c r="T418" s="94"/>
      <c r="U418" s="9"/>
    </row>
    <row r="419" spans="20:21">
      <c r="T419" s="94"/>
      <c r="U419" s="9"/>
    </row>
    <row r="420" spans="20:21">
      <c r="T420" s="94"/>
      <c r="U420" s="9"/>
    </row>
    <row r="421" spans="20:21">
      <c r="T421" s="94"/>
      <c r="U421" s="9"/>
    </row>
    <row r="422" spans="20:21">
      <c r="T422" s="94"/>
      <c r="U422" s="9"/>
    </row>
    <row r="423" spans="20:21">
      <c r="T423" s="94"/>
      <c r="U423" s="9"/>
    </row>
    <row r="424" spans="20:21">
      <c r="T424" s="94"/>
      <c r="U424" s="9"/>
    </row>
    <row r="425" spans="20:21">
      <c r="T425" s="94"/>
      <c r="U425" s="9"/>
    </row>
    <row r="426" spans="20:21">
      <c r="T426" s="94"/>
      <c r="U426" s="9"/>
    </row>
    <row r="427" spans="20:21">
      <c r="T427" s="94"/>
      <c r="U427" s="9"/>
    </row>
    <row r="428" spans="20:21">
      <c r="T428" s="94"/>
      <c r="U428" s="9"/>
    </row>
    <row r="429" spans="20:21">
      <c r="T429" s="94"/>
      <c r="U429" s="9"/>
    </row>
    <row r="430" spans="20:21">
      <c r="T430" s="94"/>
      <c r="U430" s="9"/>
    </row>
    <row r="431" spans="20:21">
      <c r="T431" s="94"/>
      <c r="U431" s="9"/>
    </row>
    <row r="432" spans="20:21">
      <c r="T432" s="94"/>
      <c r="U432" s="9"/>
    </row>
    <row r="433" spans="20:21">
      <c r="T433" s="94"/>
      <c r="U433" s="9"/>
    </row>
    <row r="434" spans="20:21">
      <c r="T434" s="94"/>
      <c r="U434" s="9"/>
    </row>
    <row r="435" spans="20:21">
      <c r="T435" s="94"/>
      <c r="U435" s="9"/>
    </row>
    <row r="436" spans="20:21">
      <c r="T436" s="94"/>
      <c r="U436" s="9"/>
    </row>
    <row r="437" spans="20:21">
      <c r="T437" s="94"/>
      <c r="U437" s="9"/>
    </row>
    <row r="438" spans="20:21">
      <c r="T438" s="94"/>
      <c r="U438" s="9"/>
    </row>
    <row r="439" spans="20:21">
      <c r="T439" s="94"/>
      <c r="U439" s="9"/>
    </row>
    <row r="440" spans="20:21">
      <c r="T440" s="94"/>
      <c r="U440" s="9"/>
    </row>
    <row r="441" spans="20:21">
      <c r="T441" s="94"/>
      <c r="U441" s="9"/>
    </row>
    <row r="442" spans="20:21">
      <c r="T442" s="94"/>
      <c r="U442" s="9"/>
    </row>
    <row r="443" spans="20:21">
      <c r="T443" s="94"/>
      <c r="U443" s="9"/>
    </row>
    <row r="444" spans="20:21">
      <c r="T444" s="94"/>
      <c r="U444" s="9"/>
    </row>
    <row r="445" spans="20:21">
      <c r="T445" s="94"/>
      <c r="U445" s="9"/>
    </row>
    <row r="446" spans="20:21">
      <c r="T446" s="94"/>
      <c r="U446" s="9"/>
    </row>
    <row r="447" spans="20:21">
      <c r="T447" s="94"/>
      <c r="U447" s="9"/>
    </row>
    <row r="448" spans="20:21">
      <c r="T448" s="94"/>
      <c r="U448" s="9"/>
    </row>
    <row r="449" spans="20:21">
      <c r="T449" s="94"/>
      <c r="U449" s="9"/>
    </row>
    <row r="450" spans="20:21">
      <c r="T450" s="94"/>
      <c r="U450" s="9"/>
    </row>
    <row r="451" spans="20:21">
      <c r="T451" s="94"/>
      <c r="U451" s="9"/>
    </row>
    <row r="452" spans="20:21">
      <c r="T452" s="94"/>
      <c r="U452" s="9"/>
    </row>
    <row r="453" spans="20:21">
      <c r="T453" s="94"/>
      <c r="U453" s="9"/>
    </row>
    <row r="454" spans="20:21">
      <c r="T454" s="94"/>
      <c r="U454" s="9"/>
    </row>
    <row r="455" spans="20:21">
      <c r="T455" s="94"/>
      <c r="U455" s="9"/>
    </row>
    <row r="456" spans="20:21">
      <c r="T456" s="94"/>
      <c r="U456" s="9"/>
    </row>
    <row r="457" spans="20:21">
      <c r="T457" s="94"/>
      <c r="U457" s="9"/>
    </row>
    <row r="458" spans="20:21">
      <c r="T458" s="94"/>
      <c r="U458" s="9"/>
    </row>
    <row r="459" spans="20:21">
      <c r="T459" s="94"/>
      <c r="U459" s="9"/>
    </row>
    <row r="460" spans="20:21">
      <c r="T460" s="94"/>
      <c r="U460" s="9"/>
    </row>
    <row r="461" spans="20:21">
      <c r="T461" s="94"/>
      <c r="U461" s="9"/>
    </row>
    <row r="462" spans="20:21">
      <c r="T462" s="94"/>
      <c r="U462" s="9"/>
    </row>
    <row r="463" spans="20:21">
      <c r="T463" s="94"/>
      <c r="U463" s="9"/>
    </row>
    <row r="464" spans="20:21">
      <c r="T464" s="94"/>
      <c r="U464" s="9"/>
    </row>
    <row r="465" spans="20:21">
      <c r="T465" s="94"/>
      <c r="U465" s="9"/>
    </row>
    <row r="466" spans="20:21">
      <c r="T466" s="94"/>
      <c r="U466" s="9"/>
    </row>
    <row r="467" spans="20:21">
      <c r="T467" s="94"/>
      <c r="U467" s="9"/>
    </row>
    <row r="468" spans="20:21">
      <c r="T468" s="94"/>
      <c r="U468" s="9"/>
    </row>
    <row r="469" spans="20:21">
      <c r="T469" s="94"/>
      <c r="U469" s="9"/>
    </row>
    <row r="470" spans="20:21">
      <c r="T470" s="94"/>
      <c r="U470" s="9"/>
    </row>
    <row r="471" spans="20:21">
      <c r="T471" s="94"/>
      <c r="U471" s="9"/>
    </row>
    <row r="472" spans="20:21">
      <c r="T472" s="94"/>
      <c r="U472" s="9"/>
    </row>
    <row r="473" spans="20:21">
      <c r="T473" s="94"/>
      <c r="U473" s="9"/>
    </row>
    <row r="474" spans="20:21">
      <c r="T474" s="94"/>
      <c r="U474" s="9"/>
    </row>
    <row r="475" spans="20:21">
      <c r="T475" s="94"/>
      <c r="U475" s="9"/>
    </row>
    <row r="476" spans="20:21">
      <c r="T476" s="94"/>
      <c r="U476" s="9"/>
    </row>
    <row r="477" spans="20:21">
      <c r="T477" s="94"/>
      <c r="U477" s="9"/>
    </row>
    <row r="478" spans="20:21">
      <c r="T478" s="94"/>
      <c r="U478" s="9"/>
    </row>
    <row r="479" spans="20:21">
      <c r="T479" s="94"/>
      <c r="U479" s="9"/>
    </row>
    <row r="480" spans="20:21">
      <c r="T480" s="94"/>
      <c r="U480" s="9"/>
    </row>
    <row r="481" spans="20:21">
      <c r="T481" s="94"/>
      <c r="U481" s="9"/>
    </row>
    <row r="482" spans="20:21">
      <c r="T482" s="94"/>
      <c r="U482" s="9"/>
    </row>
    <row r="483" spans="20:21">
      <c r="T483" s="94"/>
      <c r="U483" s="9"/>
    </row>
    <row r="484" spans="20:21">
      <c r="T484" s="94"/>
      <c r="U484" s="9"/>
    </row>
    <row r="485" spans="20:21">
      <c r="T485" s="94"/>
      <c r="U485" s="9"/>
    </row>
    <row r="486" spans="20:21">
      <c r="T486" s="94"/>
      <c r="U486" s="9"/>
    </row>
    <row r="487" spans="20:21">
      <c r="T487" s="94"/>
      <c r="U487" s="9"/>
    </row>
    <row r="488" spans="20:21">
      <c r="T488" s="94"/>
      <c r="U488" s="9"/>
    </row>
    <row r="489" spans="20:21">
      <c r="T489" s="94"/>
      <c r="U489" s="9"/>
    </row>
    <row r="490" spans="20:21">
      <c r="T490" s="94"/>
      <c r="U490" s="9"/>
    </row>
    <row r="491" spans="20:21">
      <c r="T491" s="94"/>
      <c r="U491" s="9"/>
    </row>
    <row r="492" spans="20:21">
      <c r="T492" s="94"/>
      <c r="U492" s="9"/>
    </row>
    <row r="493" spans="20:21">
      <c r="T493" s="94"/>
      <c r="U493" s="9"/>
    </row>
    <row r="494" spans="20:21">
      <c r="T494" s="94"/>
      <c r="U494" s="9"/>
    </row>
    <row r="495" spans="20:21">
      <c r="T495" s="94"/>
      <c r="U495" s="9"/>
    </row>
    <row r="496" spans="20:21">
      <c r="T496" s="94"/>
      <c r="U496" s="9"/>
    </row>
    <row r="497" spans="20:21">
      <c r="T497" s="94"/>
      <c r="U497" s="9"/>
    </row>
    <row r="498" spans="20:21">
      <c r="T498" s="94"/>
      <c r="U498" s="9"/>
    </row>
    <row r="499" spans="20:21">
      <c r="T499" s="94"/>
      <c r="U499" s="9"/>
    </row>
    <row r="500" spans="20:21">
      <c r="T500" s="94"/>
      <c r="U500" s="9"/>
    </row>
    <row r="501" spans="20:21">
      <c r="T501" s="94"/>
      <c r="U501" s="9"/>
    </row>
    <row r="502" spans="20:21">
      <c r="T502" s="94"/>
      <c r="U502" s="9"/>
    </row>
    <row r="503" spans="20:21">
      <c r="T503" s="94"/>
      <c r="U503" s="9"/>
    </row>
    <row r="504" spans="20:21">
      <c r="T504" s="94"/>
      <c r="U504" s="9"/>
    </row>
    <row r="505" spans="20:21">
      <c r="T505" s="94"/>
      <c r="U505" s="9"/>
    </row>
    <row r="506" spans="20:21">
      <c r="T506" s="94"/>
      <c r="U506" s="9"/>
    </row>
    <row r="507" spans="20:21">
      <c r="T507" s="94"/>
      <c r="U507" s="9"/>
    </row>
    <row r="508" spans="20:21">
      <c r="T508" s="94"/>
      <c r="U508" s="9"/>
    </row>
    <row r="509" spans="20:21">
      <c r="T509" s="94"/>
      <c r="U509" s="9"/>
    </row>
    <row r="510" spans="20:21">
      <c r="T510" s="94"/>
      <c r="U510" s="9"/>
    </row>
    <row r="511" spans="20:21">
      <c r="T511" s="94"/>
      <c r="U511" s="9"/>
    </row>
    <row r="512" spans="20:21">
      <c r="T512" s="94"/>
      <c r="U512" s="9"/>
    </row>
    <row r="513" spans="20:21">
      <c r="T513" s="94"/>
      <c r="U513" s="9"/>
    </row>
    <row r="514" spans="20:21">
      <c r="T514" s="94"/>
      <c r="U514" s="9"/>
    </row>
    <row r="515" spans="20:21">
      <c r="T515" s="94"/>
      <c r="U515" s="9"/>
    </row>
    <row r="516" spans="20:21">
      <c r="T516" s="94"/>
      <c r="U516" s="9"/>
    </row>
    <row r="517" spans="20:21">
      <c r="T517" s="94"/>
      <c r="U517" s="9"/>
    </row>
    <row r="518" spans="20:21">
      <c r="T518" s="94"/>
      <c r="U518" s="9"/>
    </row>
    <row r="519" spans="20:21">
      <c r="T519" s="94"/>
      <c r="U519" s="9"/>
    </row>
    <row r="520" spans="20:21">
      <c r="T520" s="94"/>
      <c r="U520" s="9"/>
    </row>
    <row r="521" spans="20:21">
      <c r="T521" s="94"/>
      <c r="U521" s="9"/>
    </row>
    <row r="522" spans="20:21">
      <c r="T522" s="94"/>
      <c r="U522" s="9"/>
    </row>
    <row r="523" spans="20:21">
      <c r="T523" s="94"/>
      <c r="U523" s="9"/>
    </row>
    <row r="524" spans="20:21">
      <c r="T524" s="94"/>
      <c r="U524" s="9"/>
    </row>
    <row r="525" spans="20:21">
      <c r="T525" s="94"/>
      <c r="U525" s="9"/>
    </row>
    <row r="526" spans="20:21">
      <c r="T526" s="94"/>
      <c r="U526" s="9"/>
    </row>
    <row r="527" spans="20:21">
      <c r="T527" s="94"/>
      <c r="U527" s="9"/>
    </row>
    <row r="528" spans="20:21">
      <c r="T528" s="94"/>
      <c r="U528" s="9"/>
    </row>
  </sheetData>
  <mergeCells count="15">
    <mergeCell ref="C4:D4"/>
    <mergeCell ref="C19:D19"/>
    <mergeCell ref="K120:L120"/>
    <mergeCell ref="K121:L121"/>
    <mergeCell ref="N9:O9"/>
    <mergeCell ref="C14:D14"/>
    <mergeCell ref="K123:L123"/>
    <mergeCell ref="N126:O126"/>
    <mergeCell ref="N132:O132"/>
    <mergeCell ref="N138:O138"/>
    <mergeCell ref="N15:O15"/>
    <mergeCell ref="K122:L122"/>
    <mergeCell ref="N74:O74"/>
    <mergeCell ref="N80:O80"/>
    <mergeCell ref="N86:O86"/>
  </mergeCells>
  <printOptions horizontalCentered="1" verticalCentered="1"/>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156</vt:i4>
      </vt:variant>
    </vt:vector>
  </HeadingPairs>
  <TitlesOfParts>
    <vt:vector size="158" baseType="lpstr">
      <vt:lpstr>Sail Data</vt:lpstr>
      <vt:lpstr>Calcs-1</vt:lpstr>
      <vt:lpstr>Angle_Step</vt:lpstr>
      <vt:lpstr>arc_radius</vt:lpstr>
      <vt:lpstr>Base_Angle</vt:lpstr>
      <vt:lpstr>BaseforHHWx</vt:lpstr>
      <vt:lpstr>BaseforHLWx</vt:lpstr>
      <vt:lpstr>BaseforHTWx</vt:lpstr>
      <vt:lpstr>BaseforHUWx</vt:lpstr>
      <vt:lpstr>BaseforLPx</vt:lpstr>
      <vt:lpstr>CH</vt:lpstr>
      <vt:lpstr>Clew_x</vt:lpstr>
      <vt:lpstr>Clew_y</vt:lpstr>
      <vt:lpstr>Eight_Leech</vt:lpstr>
      <vt:lpstr>extadj</vt:lpstr>
      <vt:lpstr>exthyp</vt:lpstr>
      <vt:lpstr>ExtLeech</vt:lpstr>
      <vt:lpstr>ExtLeechAngleatBase_d</vt:lpstr>
      <vt:lpstr>ExtLeechAngleatBase_r</vt:lpstr>
      <vt:lpstr>ExtLeechatBasex</vt:lpstr>
      <vt:lpstr>ExtLeechBase</vt:lpstr>
      <vt:lpstr>FA_d</vt:lpstr>
      <vt:lpstr>FA_r</vt:lpstr>
      <vt:lpstr>FAPer</vt:lpstr>
      <vt:lpstr>Foot_Length</vt:lpstr>
      <vt:lpstr>Foot_Mid_Distance</vt:lpstr>
      <vt:lpstr>Foot_Off_1</vt:lpstr>
      <vt:lpstr>Foot_Off_1a</vt:lpstr>
      <vt:lpstr>Foot_Offset_Input</vt:lpstr>
      <vt:lpstr>FootMidx</vt:lpstr>
      <vt:lpstr>FootMidy</vt:lpstr>
      <vt:lpstr>FootOffset</vt:lpstr>
      <vt:lpstr>FootOffsetx</vt:lpstr>
      <vt:lpstr>FootOffsety</vt:lpstr>
      <vt:lpstr>HA_d</vt:lpstr>
      <vt:lpstr>HA_r</vt:lpstr>
      <vt:lpstr>Half_Leech</vt:lpstr>
      <vt:lpstr>HB_x</vt:lpstr>
      <vt:lpstr>Headsail_scale</vt:lpstr>
      <vt:lpstr>Headx</vt:lpstr>
      <vt:lpstr>Heady</vt:lpstr>
      <vt:lpstr>HHW</vt:lpstr>
      <vt:lpstr>HHWaboveLP</vt:lpstr>
      <vt:lpstr>HHWatLuffx</vt:lpstr>
      <vt:lpstr>HHWatLuffy</vt:lpstr>
      <vt:lpstr>HHWextLeech</vt:lpstr>
      <vt:lpstr>HHWLeechPointx</vt:lpstr>
      <vt:lpstr>HHWLeechPointy</vt:lpstr>
      <vt:lpstr>HLW</vt:lpstr>
      <vt:lpstr>HLW_Input</vt:lpstr>
      <vt:lpstr>HLWaboveLP</vt:lpstr>
      <vt:lpstr>HLWatLuffx</vt:lpstr>
      <vt:lpstr>HLWatLuffy</vt:lpstr>
      <vt:lpstr>HLWextLeech</vt:lpstr>
      <vt:lpstr>HLWLeechPointx</vt:lpstr>
      <vt:lpstr>HLWLeechPointy</vt:lpstr>
      <vt:lpstr>HS_axes_maxx</vt:lpstr>
      <vt:lpstr>HS_axes_maxy</vt:lpstr>
      <vt:lpstr>HS_axes_minx</vt:lpstr>
      <vt:lpstr>HS_axes_miny</vt:lpstr>
      <vt:lpstr>HS_data_maxx</vt:lpstr>
      <vt:lpstr>HS_data_maxy</vt:lpstr>
      <vt:lpstr>HS_data_minx</vt:lpstr>
      <vt:lpstr>HS_data_miny</vt:lpstr>
      <vt:lpstr>HS_dummy_hor_maxx</vt:lpstr>
      <vt:lpstr>HS_dummy_hor_maxy</vt:lpstr>
      <vt:lpstr>HS_dummy_hor_minx</vt:lpstr>
      <vt:lpstr>HS_dummy_hor_miny</vt:lpstr>
      <vt:lpstr>HS_dummy_vert_maxx</vt:lpstr>
      <vt:lpstr>HS_dummy_vert_maxy</vt:lpstr>
      <vt:lpstr>HS_dummy_vert_minx</vt:lpstr>
      <vt:lpstr>HS_dummy_vert_miny</vt:lpstr>
      <vt:lpstr>HS_xdata_range</vt:lpstr>
      <vt:lpstr>HS_ydata_range</vt:lpstr>
      <vt:lpstr>HTW</vt:lpstr>
      <vt:lpstr>HTWaboveLP</vt:lpstr>
      <vt:lpstr>HTWatLuffx</vt:lpstr>
      <vt:lpstr>HTWatLuffy</vt:lpstr>
      <vt:lpstr>HTWextLeech</vt:lpstr>
      <vt:lpstr>HTWLeechPointx</vt:lpstr>
      <vt:lpstr>HTWLeechPointy</vt:lpstr>
      <vt:lpstr>HUW</vt:lpstr>
      <vt:lpstr>HUW_Input</vt:lpstr>
      <vt:lpstr>HUWaboveLP</vt:lpstr>
      <vt:lpstr>HUWatLuffx</vt:lpstr>
      <vt:lpstr>HUWatLuffy</vt:lpstr>
      <vt:lpstr>HUWextLeech</vt:lpstr>
      <vt:lpstr>HUWLeechPointx</vt:lpstr>
      <vt:lpstr>HUWLeechPointy</vt:lpstr>
      <vt:lpstr>JGL_1</vt:lpstr>
      <vt:lpstr>JGL_1a</vt:lpstr>
      <vt:lpstr>JGM_1</vt:lpstr>
      <vt:lpstr>JGM_1a</vt:lpstr>
      <vt:lpstr>JGT_1</vt:lpstr>
      <vt:lpstr>JGT_1a</vt:lpstr>
      <vt:lpstr>JGU_1</vt:lpstr>
      <vt:lpstr>JGU_1a</vt:lpstr>
      <vt:lpstr>JH</vt:lpstr>
      <vt:lpstr>JH_1</vt:lpstr>
      <vt:lpstr>JH_1a</vt:lpstr>
      <vt:lpstr>JH_Input</vt:lpstr>
      <vt:lpstr>JHatLeechx</vt:lpstr>
      <vt:lpstr>JHatLeechy</vt:lpstr>
      <vt:lpstr>JL_1</vt:lpstr>
      <vt:lpstr>JL_1a</vt:lpstr>
      <vt:lpstr>JL_Tick_Length</vt:lpstr>
      <vt:lpstr>JL_Tick_Offset</vt:lpstr>
      <vt:lpstr>JLE_1</vt:lpstr>
      <vt:lpstr>Leech</vt:lpstr>
      <vt:lpstr>LL</vt:lpstr>
      <vt:lpstr>LL_Above_LP</vt:lpstr>
      <vt:lpstr>LL_Below_LP</vt:lpstr>
      <vt:lpstr>LL_Tick_Length</vt:lpstr>
      <vt:lpstr>LL_Tick_Offset</vt:lpstr>
      <vt:lpstr>LP</vt:lpstr>
      <vt:lpstr>LPatLuff_x</vt:lpstr>
      <vt:lpstr>LPatLuff_y</vt:lpstr>
      <vt:lpstr>LPext</vt:lpstr>
      <vt:lpstr>LPextAngle_d</vt:lpstr>
      <vt:lpstr>LPextAngle_r</vt:lpstr>
      <vt:lpstr>LPextBase</vt:lpstr>
      <vt:lpstr>LPG_1</vt:lpstr>
      <vt:lpstr>LPG_1a</vt:lpstr>
      <vt:lpstr>MGL</vt:lpstr>
      <vt:lpstr>MGL_y</vt:lpstr>
      <vt:lpstr>MGM</vt:lpstr>
      <vt:lpstr>MGM_y</vt:lpstr>
      <vt:lpstr>MGT</vt:lpstr>
      <vt:lpstr>MGT_y</vt:lpstr>
      <vt:lpstr>MGU</vt:lpstr>
      <vt:lpstr>Neg_LPextAngle_d</vt:lpstr>
      <vt:lpstr>'Calcs-1'!Print_Area</vt:lpstr>
      <vt:lpstr>'Sail Data'!Print_Area</vt:lpstr>
      <vt:lpstr>Qtr_Leech</vt:lpstr>
      <vt:lpstr>RatioHalf</vt:lpstr>
      <vt:lpstr>RatioThird</vt:lpstr>
      <vt:lpstr>ReHHWatLeechx</vt:lpstr>
      <vt:lpstr>ReHHWatLeechy</vt:lpstr>
      <vt:lpstr>ReHLWatLeechx</vt:lpstr>
      <vt:lpstr>ReHLWatLeechy</vt:lpstr>
      <vt:lpstr>ReHTWatLeechx</vt:lpstr>
      <vt:lpstr>ReHTWatLeechy</vt:lpstr>
      <vt:lpstr>ReHUWatLeechx</vt:lpstr>
      <vt:lpstr>ReHUWatLeechy</vt:lpstr>
      <vt:lpstr>SevenEight_Leech_Distance</vt:lpstr>
      <vt:lpstr>SLA_r</vt:lpstr>
      <vt:lpstr>SLAPer</vt:lpstr>
      <vt:lpstr>TA_d</vt:lpstr>
      <vt:lpstr>TA_r</vt:lpstr>
      <vt:lpstr>Tack_h_x</vt:lpstr>
      <vt:lpstr>Tack_h_y</vt:lpstr>
      <vt:lpstr>Tack_x_Input</vt:lpstr>
      <vt:lpstr>Tack_y_Input</vt:lpstr>
      <vt:lpstr>ThreeQtr_Leech_Distance</vt:lpstr>
      <vt:lpstr>Tick_Length</vt:lpstr>
      <vt:lpstr>Tick_Offset</vt:lpstr>
      <vt:lpstr>xdxd</vt:lpstr>
      <vt:lpstr>xxxxxx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Kett</dc:creator>
  <cp:lastModifiedBy>Kett Cummins</cp:lastModifiedBy>
  <cp:lastPrinted>2016-01-25T17:18:40Z</cp:lastPrinted>
  <dcterms:created xsi:type="dcterms:W3CDTF">2013-03-07T14:25:35Z</dcterms:created>
  <dcterms:modified xsi:type="dcterms:W3CDTF">2025-03-13T18:26:58Z</dcterms:modified>
</cp:coreProperties>
</file>